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\Documents\_Transparentnost\"/>
    </mc:Choice>
  </mc:AlternateContent>
  <xr:revisionPtr revIDLastSave="0" documentId="8_{E3E4A46F-49A5-469F-9BF5-1157570F2F82}" xr6:coauthVersionLast="47" xr6:coauthVersionMax="47" xr10:uidLastSave="{00000000-0000-0000-0000-000000000000}"/>
  <bookViews>
    <workbookView xWindow="-108" yWindow="-108" windowWidth="23256" windowHeight="12576" xr2:uid="{DEBC36B3-6CF0-4598-BDBA-C272CE7C7BC9}"/>
  </bookViews>
  <sheets>
    <sheet name="red rad novi saziv 2022 sajt" sheetId="13" r:id="rId1"/>
    <sheet name="2021 st saz i zak komb bud rb13" sheetId="20" r:id="rId2"/>
    <sheet name="2021 st saz i zak komb bud i rb" sheetId="19" r:id="rId3"/>
    <sheet name="2021 stari saziv i zakon orig b" sheetId="18" r:id="rId4"/>
    <sheet name="2021 stari saziv i zakon 1rb" sheetId="17" r:id="rId5"/>
    <sheet name="2021 stari saziv i zakon 2rb" sheetId="8" r:id="rId6"/>
    <sheet name="2020 stari saziv i zakon " sheetId="16" r:id="rId7"/>
    <sheet name="za 2022 stari saziv novi zakon" sheetId="7" r:id="rId8"/>
    <sheet name="redovan rad novi saziv formule" sheetId="15" r:id="rId9"/>
    <sheet name="List1" sheetId="14" r:id="rId10"/>
    <sheet name="Raspodela budžetskog novca 6,4" sheetId="6" r:id="rId11"/>
    <sheet name="raspodela po starom zakonu" sheetId="5" r:id="rId12"/>
    <sheet name="posledice izmena ZFPA" sheetId="4" r:id="rId13"/>
    <sheet name="Na osnovu novog ZFPA" sheetId="2" r:id="rId14"/>
    <sheet name="Na osnovu starog ZFPA" sheetId="1" r:id="rId15"/>
    <sheet name="Raspodela budžetskog novca " sheetId="3" r:id="rId16"/>
    <sheet name="2021, po strankama" sheetId="1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3" l="1"/>
  <c r="M24" i="20"/>
  <c r="M21" i="20"/>
  <c r="M22" i="20"/>
  <c r="M23" i="20"/>
  <c r="M25" i="20"/>
  <c r="M26" i="20"/>
  <c r="M27" i="20"/>
  <c r="M20" i="20"/>
  <c r="C45" i="20"/>
  <c r="C46" i="20" s="1"/>
  <c r="C44" i="20"/>
  <c r="C27" i="20"/>
  <c r="N26" i="20"/>
  <c r="E26" i="20"/>
  <c r="G26" i="20" s="1"/>
  <c r="D26" i="20"/>
  <c r="B26" i="20"/>
  <c r="E25" i="20"/>
  <c r="G25" i="20" s="1"/>
  <c r="D25" i="20"/>
  <c r="B25" i="20"/>
  <c r="G24" i="20"/>
  <c r="E24" i="20"/>
  <c r="D24" i="20"/>
  <c r="B24" i="20"/>
  <c r="G23" i="20"/>
  <c r="E23" i="20"/>
  <c r="D23" i="20"/>
  <c r="B23" i="20"/>
  <c r="G22" i="20"/>
  <c r="E22" i="20"/>
  <c r="D22" i="20"/>
  <c r="B22" i="20"/>
  <c r="N21" i="20"/>
  <c r="D21" i="20"/>
  <c r="F21" i="20" s="1"/>
  <c r="B21" i="20"/>
  <c r="N20" i="20"/>
  <c r="N27" i="20" s="1"/>
  <c r="D20" i="20"/>
  <c r="F20" i="20" s="1"/>
  <c r="B20" i="20"/>
  <c r="B27" i="20" s="1"/>
  <c r="A4" i="20"/>
  <c r="B3" i="20"/>
  <c r="N26" i="19"/>
  <c r="N26" i="18"/>
  <c r="N26" i="16"/>
  <c r="N26" i="8"/>
  <c r="N26" i="17"/>
  <c r="C45" i="19"/>
  <c r="C46" i="19" s="1"/>
  <c r="C44" i="19"/>
  <c r="D22" i="19" s="1"/>
  <c r="C27" i="19"/>
  <c r="G26" i="19"/>
  <c r="E26" i="19"/>
  <c r="B26" i="19"/>
  <c r="G25" i="19"/>
  <c r="E25" i="19"/>
  <c r="B25" i="19"/>
  <c r="E24" i="19"/>
  <c r="G24" i="19" s="1"/>
  <c r="D24" i="19"/>
  <c r="B24" i="19"/>
  <c r="E23" i="19"/>
  <c r="G23" i="19" s="1"/>
  <c r="D23" i="19"/>
  <c r="B23" i="19"/>
  <c r="E22" i="19"/>
  <c r="G22" i="19" s="1"/>
  <c r="B22" i="19"/>
  <c r="N21" i="19"/>
  <c r="F21" i="19"/>
  <c r="D21" i="19"/>
  <c r="E21" i="19" s="1"/>
  <c r="G21" i="19" s="1"/>
  <c r="B21" i="19"/>
  <c r="N20" i="19"/>
  <c r="D20" i="19"/>
  <c r="F20" i="19" s="1"/>
  <c r="B20" i="19"/>
  <c r="B27" i="19" s="1"/>
  <c r="B4" i="19"/>
  <c r="A4" i="19"/>
  <c r="B3" i="19"/>
  <c r="C45" i="18"/>
  <c r="C46" i="18" s="1"/>
  <c r="C44" i="18"/>
  <c r="C27" i="18"/>
  <c r="E26" i="18"/>
  <c r="G26" i="18" s="1"/>
  <c r="D26" i="18"/>
  <c r="B26" i="18"/>
  <c r="E25" i="18"/>
  <c r="G25" i="18" s="1"/>
  <c r="D25" i="18"/>
  <c r="B25" i="18"/>
  <c r="G24" i="18"/>
  <c r="E24" i="18"/>
  <c r="D24" i="18"/>
  <c r="B24" i="18"/>
  <c r="E23" i="18"/>
  <c r="G23" i="18" s="1"/>
  <c r="D23" i="18"/>
  <c r="B23" i="18"/>
  <c r="E22" i="18"/>
  <c r="G22" i="18" s="1"/>
  <c r="D22" i="18"/>
  <c r="B22" i="18"/>
  <c r="N21" i="18"/>
  <c r="E21" i="18"/>
  <c r="D21" i="18"/>
  <c r="F21" i="18" s="1"/>
  <c r="B21" i="18"/>
  <c r="N20" i="18"/>
  <c r="N27" i="18" s="1"/>
  <c r="D20" i="18"/>
  <c r="F20" i="18" s="1"/>
  <c r="B20" i="18"/>
  <c r="B27" i="18" s="1"/>
  <c r="A4" i="18"/>
  <c r="B4" i="18" s="1"/>
  <c r="B3" i="18"/>
  <c r="C45" i="17"/>
  <c r="C46" i="17" s="1"/>
  <c r="C44" i="17"/>
  <c r="D22" i="17" s="1"/>
  <c r="C27" i="17"/>
  <c r="B27" i="17"/>
  <c r="E26" i="17"/>
  <c r="G26" i="17" s="1"/>
  <c r="B26" i="17"/>
  <c r="E25" i="17"/>
  <c r="G25" i="17" s="1"/>
  <c r="B25" i="17"/>
  <c r="E24" i="17"/>
  <c r="G24" i="17" s="1"/>
  <c r="B24" i="17"/>
  <c r="E23" i="17"/>
  <c r="G23" i="17" s="1"/>
  <c r="B23" i="17"/>
  <c r="E22" i="17"/>
  <c r="G22" i="17" s="1"/>
  <c r="B22" i="17"/>
  <c r="N21" i="17"/>
  <c r="B21" i="17"/>
  <c r="N20" i="17"/>
  <c r="B20" i="17"/>
  <c r="A4" i="17"/>
  <c r="B4" i="17" s="1"/>
  <c r="B3" i="17"/>
  <c r="A4" i="8"/>
  <c r="E4" i="8" s="1"/>
  <c r="C45" i="16"/>
  <c r="C46" i="16" s="1"/>
  <c r="C44" i="16"/>
  <c r="C27" i="16"/>
  <c r="E26" i="16"/>
  <c r="G26" i="16" s="1"/>
  <c r="D26" i="16"/>
  <c r="B26" i="16"/>
  <c r="E25" i="16"/>
  <c r="G25" i="16" s="1"/>
  <c r="D25" i="16"/>
  <c r="B25" i="16"/>
  <c r="E24" i="16"/>
  <c r="G24" i="16" s="1"/>
  <c r="D24" i="16"/>
  <c r="B24" i="16"/>
  <c r="E23" i="16"/>
  <c r="G23" i="16" s="1"/>
  <c r="D23" i="16"/>
  <c r="B23" i="16"/>
  <c r="E22" i="16"/>
  <c r="G22" i="16" s="1"/>
  <c r="D22" i="16"/>
  <c r="B22" i="16"/>
  <c r="N21" i="16"/>
  <c r="E21" i="16"/>
  <c r="D21" i="16"/>
  <c r="F21" i="16" s="1"/>
  <c r="G21" i="16" s="1"/>
  <c r="B21" i="16"/>
  <c r="N20" i="16"/>
  <c r="D20" i="16"/>
  <c r="F20" i="16" s="1"/>
  <c r="B20" i="16"/>
  <c r="B27" i="16" s="1"/>
  <c r="A4" i="16"/>
  <c r="B3" i="16"/>
  <c r="F24" i="7"/>
  <c r="E24" i="7"/>
  <c r="E23" i="7"/>
  <c r="E23" i="8"/>
  <c r="D21" i="7"/>
  <c r="E21" i="15"/>
  <c r="G21" i="15" s="1"/>
  <c r="H21" i="15" s="1"/>
  <c r="D42" i="15"/>
  <c r="D43" i="15" s="1"/>
  <c r="D41" i="15"/>
  <c r="E26" i="15" s="1"/>
  <c r="H31" i="15"/>
  <c r="F31" i="15"/>
  <c r="C31" i="15"/>
  <c r="F30" i="15"/>
  <c r="H30" i="15" s="1"/>
  <c r="E30" i="15"/>
  <c r="C30" i="15"/>
  <c r="F29" i="15"/>
  <c r="H29" i="15" s="1"/>
  <c r="C29" i="15"/>
  <c r="E28" i="15"/>
  <c r="G28" i="15" s="1"/>
  <c r="C28" i="15"/>
  <c r="E27" i="15"/>
  <c r="G27" i="15" s="1"/>
  <c r="C27" i="15"/>
  <c r="F26" i="15"/>
  <c r="H26" i="15" s="1"/>
  <c r="C26" i="15"/>
  <c r="E25" i="15"/>
  <c r="F25" i="15" s="1"/>
  <c r="C25" i="15"/>
  <c r="E24" i="15"/>
  <c r="G24" i="15" s="1"/>
  <c r="C24" i="15"/>
  <c r="E23" i="15"/>
  <c r="F23" i="15" s="1"/>
  <c r="C23" i="15"/>
  <c r="F22" i="15"/>
  <c r="H22" i="15" s="1"/>
  <c r="C22" i="15"/>
  <c r="F21" i="15"/>
  <c r="C21" i="15"/>
  <c r="E20" i="15"/>
  <c r="F20" i="15" s="1"/>
  <c r="C20" i="15"/>
  <c r="C32" i="15" s="1"/>
  <c r="B4" i="15"/>
  <c r="A4" i="15"/>
  <c r="C3" i="15"/>
  <c r="N21" i="8"/>
  <c r="N20" i="8"/>
  <c r="C12" i="11"/>
  <c r="D16" i="11" s="1"/>
  <c r="B24" i="8"/>
  <c r="E24" i="8"/>
  <c r="G24" i="8" s="1"/>
  <c r="E20" i="20" l="1"/>
  <c r="G20" i="20" s="1"/>
  <c r="E21" i="20"/>
  <c r="G21" i="20" s="1"/>
  <c r="B4" i="20"/>
  <c r="N27" i="19"/>
  <c r="N27" i="16"/>
  <c r="N27" i="17"/>
  <c r="E20" i="19"/>
  <c r="G20" i="19" s="1"/>
  <c r="D25" i="19"/>
  <c r="D26" i="19"/>
  <c r="G21" i="18"/>
  <c r="E20" i="18"/>
  <c r="G20" i="18" s="1"/>
  <c r="D23" i="17"/>
  <c r="D20" i="17"/>
  <c r="D24" i="17"/>
  <c r="D25" i="17"/>
  <c r="D21" i="17"/>
  <c r="D26" i="17"/>
  <c r="B4" i="16"/>
  <c r="E20" i="16"/>
  <c r="G20" i="16" s="1"/>
  <c r="G25" i="15"/>
  <c r="H25" i="15" s="1"/>
  <c r="F24" i="15"/>
  <c r="H24" i="15" s="1"/>
  <c r="E29" i="15"/>
  <c r="C4" i="15"/>
  <c r="G23" i="15"/>
  <c r="H23" i="15" s="1"/>
  <c r="F28" i="15"/>
  <c r="H28" i="15" s="1"/>
  <c r="G20" i="15"/>
  <c r="H20" i="15" s="1"/>
  <c r="E22" i="15"/>
  <c r="F27" i="15"/>
  <c r="H27" i="15" s="1"/>
  <c r="E31" i="15"/>
  <c r="N27" i="8"/>
  <c r="C15" i="11"/>
  <c r="C44" i="8"/>
  <c r="C45" i="8"/>
  <c r="C46" i="8" s="1"/>
  <c r="C27" i="8"/>
  <c r="E26" i="8"/>
  <c r="G26" i="8" s="1"/>
  <c r="B26" i="8"/>
  <c r="E25" i="8"/>
  <c r="G25" i="8" s="1"/>
  <c r="B25" i="8"/>
  <c r="B23" i="8"/>
  <c r="E22" i="8"/>
  <c r="G22" i="8" s="1"/>
  <c r="B22" i="8"/>
  <c r="B21" i="8"/>
  <c r="B20" i="8"/>
  <c r="B3" i="8"/>
  <c r="G27" i="20" l="1"/>
  <c r="A5" i="20" s="1"/>
  <c r="G27" i="19"/>
  <c r="A5" i="19" s="1"/>
  <c r="G27" i="18"/>
  <c r="A5" i="18" s="1"/>
  <c r="E21" i="17"/>
  <c r="F21" i="17"/>
  <c r="E20" i="17"/>
  <c r="F20" i="17"/>
  <c r="G27" i="16"/>
  <c r="A5" i="16" s="1"/>
  <c r="D26" i="8"/>
  <c r="D24" i="8"/>
  <c r="D21" i="8"/>
  <c r="B27" i="8"/>
  <c r="H32" i="15"/>
  <c r="A5" i="15" s="1"/>
  <c r="D25" i="8"/>
  <c r="B4" i="8"/>
  <c r="D22" i="8"/>
  <c r="D23" i="8"/>
  <c r="D20" i="8"/>
  <c r="B5" i="20" l="1"/>
  <c r="A6" i="20"/>
  <c r="B5" i="19"/>
  <c r="A6" i="19"/>
  <c r="B5" i="18"/>
  <c r="A6" i="18"/>
  <c r="G20" i="17"/>
  <c r="G21" i="17"/>
  <c r="B5" i="16"/>
  <c r="A6" i="16"/>
  <c r="E21" i="8"/>
  <c r="F21" i="8"/>
  <c r="C5" i="15"/>
  <c r="A6" i="15"/>
  <c r="E20" i="8"/>
  <c r="F20" i="8"/>
  <c r="G23" i="8"/>
  <c r="H21" i="20" l="1"/>
  <c r="I21" i="20" s="1"/>
  <c r="B6" i="20"/>
  <c r="H26" i="20"/>
  <c r="I26" i="20" s="1"/>
  <c r="H25" i="20"/>
  <c r="I25" i="20" s="1"/>
  <c r="H20" i="20"/>
  <c r="I20" i="20" s="1"/>
  <c r="H24" i="20"/>
  <c r="I24" i="20" s="1"/>
  <c r="H23" i="20"/>
  <c r="I23" i="20" s="1"/>
  <c r="H22" i="20"/>
  <c r="I22" i="20" s="1"/>
  <c r="H21" i="19"/>
  <c r="I21" i="19" s="1"/>
  <c r="H26" i="19"/>
  <c r="I26" i="19" s="1"/>
  <c r="H25" i="19"/>
  <c r="I25" i="19" s="1"/>
  <c r="H20" i="19"/>
  <c r="I20" i="19" s="1"/>
  <c r="H24" i="19"/>
  <c r="I24" i="19" s="1"/>
  <c r="H23" i="19"/>
  <c r="I23" i="19" s="1"/>
  <c r="B6" i="19"/>
  <c r="H22" i="19"/>
  <c r="I22" i="19" s="1"/>
  <c r="H21" i="18"/>
  <c r="I21" i="18" s="1"/>
  <c r="H26" i="18"/>
  <c r="I26" i="18" s="1"/>
  <c r="H25" i="18"/>
  <c r="I25" i="18" s="1"/>
  <c r="H20" i="18"/>
  <c r="I20" i="18" s="1"/>
  <c r="H22" i="18"/>
  <c r="I22" i="18" s="1"/>
  <c r="H24" i="18"/>
  <c r="I24" i="18" s="1"/>
  <c r="H23" i="18"/>
  <c r="I23" i="18" s="1"/>
  <c r="B6" i="18"/>
  <c r="G27" i="17"/>
  <c r="A5" i="17" s="1"/>
  <c r="H20" i="16"/>
  <c r="I20" i="16" s="1"/>
  <c r="H26" i="16"/>
  <c r="I26" i="16" s="1"/>
  <c r="H25" i="16"/>
  <c r="I25" i="16" s="1"/>
  <c r="H24" i="16"/>
  <c r="I24" i="16" s="1"/>
  <c r="H23" i="16"/>
  <c r="I23" i="16" s="1"/>
  <c r="B6" i="16"/>
  <c r="H21" i="16"/>
  <c r="I21" i="16" s="1"/>
  <c r="H22" i="16"/>
  <c r="I22" i="16" s="1"/>
  <c r="G21" i="8"/>
  <c r="I26" i="15"/>
  <c r="J26" i="15" s="1"/>
  <c r="I21" i="15"/>
  <c r="J21" i="15" s="1"/>
  <c r="I31" i="15"/>
  <c r="J31" i="15" s="1"/>
  <c r="I22" i="15"/>
  <c r="J22" i="15" s="1"/>
  <c r="C6" i="15"/>
  <c r="I28" i="15"/>
  <c r="J28" i="15" s="1"/>
  <c r="I23" i="15"/>
  <c r="J23" i="15" s="1"/>
  <c r="I24" i="15"/>
  <c r="J24" i="15" s="1"/>
  <c r="I25" i="15"/>
  <c r="J25" i="15" s="1"/>
  <c r="I27" i="15"/>
  <c r="J27" i="15" s="1"/>
  <c r="I20" i="15"/>
  <c r="J20" i="15" s="1"/>
  <c r="I29" i="15"/>
  <c r="J29" i="15" s="1"/>
  <c r="I30" i="15"/>
  <c r="J30" i="15" s="1"/>
  <c r="G20" i="8"/>
  <c r="P22" i="20" l="1"/>
  <c r="Q22" i="20" s="1"/>
  <c r="K22" i="20"/>
  <c r="L22" i="20" s="1"/>
  <c r="J22" i="20"/>
  <c r="J26" i="20"/>
  <c r="P26" i="20"/>
  <c r="Q26" i="20" s="1"/>
  <c r="K26" i="20"/>
  <c r="L26" i="20" s="1"/>
  <c r="K24" i="20"/>
  <c r="L24" i="20" s="1"/>
  <c r="J24" i="20"/>
  <c r="P24" i="20"/>
  <c r="Q24" i="20" s="1"/>
  <c r="P23" i="20"/>
  <c r="Q23" i="20" s="1"/>
  <c r="K23" i="20"/>
  <c r="L23" i="20" s="1"/>
  <c r="J23" i="20"/>
  <c r="I27" i="20"/>
  <c r="K20" i="20"/>
  <c r="L20" i="20" s="1"/>
  <c r="J20" i="20"/>
  <c r="P20" i="20"/>
  <c r="Q20" i="20" s="1"/>
  <c r="K25" i="20"/>
  <c r="L25" i="20" s="1"/>
  <c r="J25" i="20"/>
  <c r="P25" i="20"/>
  <c r="Q25" i="20" s="1"/>
  <c r="J21" i="20"/>
  <c r="P21" i="20"/>
  <c r="Q21" i="20" s="1"/>
  <c r="K21" i="20"/>
  <c r="L21" i="20" s="1"/>
  <c r="K24" i="19"/>
  <c r="L24" i="19" s="1"/>
  <c r="J24" i="19"/>
  <c r="P24" i="19"/>
  <c r="Q24" i="19" s="1"/>
  <c r="I27" i="19"/>
  <c r="K20" i="19"/>
  <c r="L20" i="19" s="1"/>
  <c r="J20" i="19"/>
  <c r="P20" i="19"/>
  <c r="Q20" i="19" s="1"/>
  <c r="P22" i="19"/>
  <c r="Q22" i="19" s="1"/>
  <c r="K22" i="19"/>
  <c r="L22" i="19" s="1"/>
  <c r="J22" i="19"/>
  <c r="P23" i="19"/>
  <c r="Q23" i="19" s="1"/>
  <c r="K23" i="19"/>
  <c r="L23" i="19" s="1"/>
  <c r="J23" i="19"/>
  <c r="K25" i="19"/>
  <c r="L25" i="19" s="1"/>
  <c r="J25" i="19"/>
  <c r="P25" i="19"/>
  <c r="Q25" i="19" s="1"/>
  <c r="J26" i="19"/>
  <c r="P26" i="19"/>
  <c r="Q26" i="19" s="1"/>
  <c r="K26" i="19"/>
  <c r="L26" i="19" s="1"/>
  <c r="P21" i="19"/>
  <c r="Q21" i="19" s="1"/>
  <c r="J21" i="19"/>
  <c r="K21" i="19"/>
  <c r="L21" i="19" s="1"/>
  <c r="P23" i="18"/>
  <c r="Q23" i="18" s="1"/>
  <c r="K23" i="18"/>
  <c r="L23" i="18" s="1"/>
  <c r="J23" i="18"/>
  <c r="P22" i="18"/>
  <c r="Q22" i="18" s="1"/>
  <c r="K22" i="18"/>
  <c r="L22" i="18" s="1"/>
  <c r="J22" i="18"/>
  <c r="J24" i="18"/>
  <c r="K24" i="18"/>
  <c r="L24" i="18" s="1"/>
  <c r="P24" i="18"/>
  <c r="Q24" i="18" s="1"/>
  <c r="J26" i="18"/>
  <c r="P26" i="18"/>
  <c r="Q26" i="18" s="1"/>
  <c r="K26" i="18"/>
  <c r="L26" i="18" s="1"/>
  <c r="I27" i="18"/>
  <c r="K20" i="18"/>
  <c r="L20" i="18" s="1"/>
  <c r="J20" i="18"/>
  <c r="P20" i="18"/>
  <c r="Q20" i="18" s="1"/>
  <c r="K25" i="18"/>
  <c r="L25" i="18" s="1"/>
  <c r="J25" i="18"/>
  <c r="P25" i="18"/>
  <c r="Q25" i="18" s="1"/>
  <c r="P21" i="18"/>
  <c r="Q21" i="18" s="1"/>
  <c r="K21" i="18"/>
  <c r="L21" i="18" s="1"/>
  <c r="J21" i="18"/>
  <c r="B5" i="17"/>
  <c r="A6" i="17"/>
  <c r="O22" i="16"/>
  <c r="P22" i="16" s="1"/>
  <c r="K22" i="16"/>
  <c r="L22" i="16" s="1"/>
  <c r="J22" i="16"/>
  <c r="O21" i="16"/>
  <c r="P21" i="16" s="1"/>
  <c r="K21" i="16"/>
  <c r="L21" i="16" s="1"/>
  <c r="J21" i="16"/>
  <c r="O25" i="16"/>
  <c r="P25" i="16" s="1"/>
  <c r="K25" i="16"/>
  <c r="L25" i="16" s="1"/>
  <c r="J25" i="16"/>
  <c r="O26" i="16"/>
  <c r="P26" i="16" s="1"/>
  <c r="K26" i="16"/>
  <c r="L26" i="16" s="1"/>
  <c r="J26" i="16"/>
  <c r="O23" i="16"/>
  <c r="P23" i="16" s="1"/>
  <c r="K23" i="16"/>
  <c r="L23" i="16" s="1"/>
  <c r="J23" i="16"/>
  <c r="O24" i="16"/>
  <c r="P24" i="16" s="1"/>
  <c r="K24" i="16"/>
  <c r="L24" i="16" s="1"/>
  <c r="J24" i="16"/>
  <c r="J20" i="16"/>
  <c r="O20" i="16"/>
  <c r="P20" i="16" s="1"/>
  <c r="K20" i="16"/>
  <c r="L20" i="16" s="1"/>
  <c r="I27" i="16"/>
  <c r="L30" i="15"/>
  <c r="M30" i="15" s="1"/>
  <c r="K30" i="15"/>
  <c r="L20" i="15"/>
  <c r="M20" i="15" s="1"/>
  <c r="K20" i="15"/>
  <c r="J32" i="15"/>
  <c r="L29" i="15"/>
  <c r="M29" i="15" s="1"/>
  <c r="K29" i="15"/>
  <c r="L28" i="15"/>
  <c r="M28" i="15" s="1"/>
  <c r="K28" i="15"/>
  <c r="L26" i="15"/>
  <c r="M26" i="15" s="1"/>
  <c r="K26" i="15"/>
  <c r="K27" i="15"/>
  <c r="L27" i="15"/>
  <c r="M27" i="15" s="1"/>
  <c r="L25" i="15"/>
  <c r="M25" i="15" s="1"/>
  <c r="K25" i="15"/>
  <c r="L24" i="15"/>
  <c r="M24" i="15" s="1"/>
  <c r="K24" i="15"/>
  <c r="K23" i="15"/>
  <c r="L23" i="15"/>
  <c r="M23" i="15" s="1"/>
  <c r="L22" i="15"/>
  <c r="M22" i="15" s="1"/>
  <c r="K22" i="15"/>
  <c r="L31" i="15"/>
  <c r="M31" i="15" s="1"/>
  <c r="K31" i="15"/>
  <c r="L21" i="15"/>
  <c r="M21" i="15" s="1"/>
  <c r="K21" i="15"/>
  <c r="G27" i="8"/>
  <c r="A5" i="8" s="1"/>
  <c r="O23" i="20" l="1"/>
  <c r="R23" i="20"/>
  <c r="O24" i="20"/>
  <c r="R24" i="20"/>
  <c r="R21" i="20"/>
  <c r="O21" i="20"/>
  <c r="R26" i="20"/>
  <c r="O26" i="20"/>
  <c r="O20" i="20"/>
  <c r="R20" i="20"/>
  <c r="R22" i="20"/>
  <c r="O22" i="20"/>
  <c r="R25" i="20"/>
  <c r="O25" i="20"/>
  <c r="P27" i="20"/>
  <c r="Q27" i="20" s="1"/>
  <c r="J27" i="20"/>
  <c r="K27" i="20"/>
  <c r="L27" i="20" s="1"/>
  <c r="Q21" i="16"/>
  <c r="M21" i="19"/>
  <c r="Q20" i="16"/>
  <c r="M20" i="19"/>
  <c r="O20" i="19" s="1"/>
  <c r="Q24" i="16"/>
  <c r="M24" i="19"/>
  <c r="O24" i="19" s="1"/>
  <c r="Q26" i="16"/>
  <c r="M26" i="19"/>
  <c r="O26" i="19" s="1"/>
  <c r="Q25" i="16"/>
  <c r="M25" i="19"/>
  <c r="O25" i="19" s="1"/>
  <c r="Q23" i="16"/>
  <c r="M23" i="19"/>
  <c r="O23" i="19" s="1"/>
  <c r="Q22" i="16"/>
  <c r="M22" i="19"/>
  <c r="R21" i="19"/>
  <c r="O21" i="19"/>
  <c r="R20" i="19"/>
  <c r="J27" i="19"/>
  <c r="P27" i="19"/>
  <c r="Q27" i="19" s="1"/>
  <c r="K27" i="19"/>
  <c r="L27" i="19" s="1"/>
  <c r="R22" i="19"/>
  <c r="O22" i="19"/>
  <c r="R26" i="19"/>
  <c r="R25" i="19"/>
  <c r="R24" i="19"/>
  <c r="R23" i="19"/>
  <c r="R21" i="18"/>
  <c r="M21" i="18"/>
  <c r="O21" i="18" s="1"/>
  <c r="R22" i="18"/>
  <c r="M22" i="18"/>
  <c r="O22" i="18" s="1"/>
  <c r="M24" i="18"/>
  <c r="O24" i="18" s="1"/>
  <c r="R24" i="18"/>
  <c r="R25" i="18"/>
  <c r="M25" i="18"/>
  <c r="O25" i="18" s="1"/>
  <c r="M23" i="18"/>
  <c r="O23" i="18" s="1"/>
  <c r="R23" i="18"/>
  <c r="R26" i="18"/>
  <c r="M26" i="18"/>
  <c r="O26" i="18" s="1"/>
  <c r="R20" i="18"/>
  <c r="M20" i="18"/>
  <c r="O20" i="18" s="1"/>
  <c r="P27" i="18"/>
  <c r="Q27" i="18" s="1"/>
  <c r="K27" i="18"/>
  <c r="L27" i="18" s="1"/>
  <c r="J27" i="18"/>
  <c r="H21" i="17"/>
  <c r="I21" i="17" s="1"/>
  <c r="H26" i="17"/>
  <c r="I26" i="17" s="1"/>
  <c r="H20" i="17"/>
  <c r="I20" i="17" s="1"/>
  <c r="H23" i="17"/>
  <c r="I23" i="17" s="1"/>
  <c r="H25" i="17"/>
  <c r="I25" i="17" s="1"/>
  <c r="H24" i="17"/>
  <c r="I24" i="17" s="1"/>
  <c r="H22" i="17"/>
  <c r="I22" i="17" s="1"/>
  <c r="B6" i="17"/>
  <c r="O27" i="16"/>
  <c r="P27" i="16" s="1"/>
  <c r="J27" i="16"/>
  <c r="K27" i="16"/>
  <c r="L27" i="16" s="1"/>
  <c r="L32" i="15"/>
  <c r="M32" i="15" s="1"/>
  <c r="K32" i="15"/>
  <c r="B5" i="8"/>
  <c r="A6" i="8"/>
  <c r="H24" i="8" s="1"/>
  <c r="I24" i="8" s="1"/>
  <c r="P24" i="8" s="1"/>
  <c r="Q24" i="8" s="1"/>
  <c r="R27" i="20" l="1"/>
  <c r="O27" i="20"/>
  <c r="Q27" i="16"/>
  <c r="M27" i="19"/>
  <c r="R27" i="19"/>
  <c r="O27" i="19"/>
  <c r="R27" i="18"/>
  <c r="M27" i="18"/>
  <c r="O27" i="18" s="1"/>
  <c r="K25" i="17"/>
  <c r="L25" i="17" s="1"/>
  <c r="J25" i="17"/>
  <c r="P25" i="17"/>
  <c r="Q25" i="17" s="1"/>
  <c r="J22" i="17"/>
  <c r="K22" i="17"/>
  <c r="L22" i="17" s="1"/>
  <c r="P22" i="17"/>
  <c r="Q22" i="17" s="1"/>
  <c r="P26" i="17"/>
  <c r="Q26" i="17" s="1"/>
  <c r="K26" i="17"/>
  <c r="L26" i="17" s="1"/>
  <c r="J26" i="17"/>
  <c r="K24" i="17"/>
  <c r="L24" i="17" s="1"/>
  <c r="J24" i="17"/>
  <c r="P24" i="17"/>
  <c r="Q24" i="17" s="1"/>
  <c r="P23" i="17"/>
  <c r="Q23" i="17" s="1"/>
  <c r="K23" i="17"/>
  <c r="L23" i="17" s="1"/>
  <c r="J23" i="17"/>
  <c r="I27" i="17"/>
  <c r="K20" i="17"/>
  <c r="L20" i="17" s="1"/>
  <c r="P20" i="17"/>
  <c r="Q20" i="17" s="1"/>
  <c r="J20" i="17"/>
  <c r="P21" i="17"/>
  <c r="Q21" i="17" s="1"/>
  <c r="K21" i="17"/>
  <c r="L21" i="17" s="1"/>
  <c r="J21" i="17"/>
  <c r="K24" i="8"/>
  <c r="L24" i="8" s="1"/>
  <c r="J24" i="8"/>
  <c r="H23" i="8"/>
  <c r="I23" i="8" s="1"/>
  <c r="P23" i="8" s="1"/>
  <c r="Q23" i="8" s="1"/>
  <c r="H21" i="8"/>
  <c r="I21" i="8" s="1"/>
  <c r="P21" i="8" s="1"/>
  <c r="Q21" i="8" s="1"/>
  <c r="H20" i="8"/>
  <c r="I20" i="8" s="1"/>
  <c r="P20" i="8" s="1"/>
  <c r="Q20" i="8" s="1"/>
  <c r="H26" i="8"/>
  <c r="I26" i="8" s="1"/>
  <c r="P26" i="8" s="1"/>
  <c r="Q26" i="8" s="1"/>
  <c r="H25" i="8"/>
  <c r="I25" i="8" s="1"/>
  <c r="P25" i="8" s="1"/>
  <c r="Q25" i="8" s="1"/>
  <c r="H22" i="8"/>
  <c r="I22" i="8" s="1"/>
  <c r="P22" i="8" s="1"/>
  <c r="Q22" i="8" s="1"/>
  <c r="B6" i="8"/>
  <c r="M24" i="17" l="1"/>
  <c r="O24" i="17" s="1"/>
  <c r="R24" i="17"/>
  <c r="R21" i="17"/>
  <c r="M21" i="17"/>
  <c r="O21" i="17" s="1"/>
  <c r="R26" i="17"/>
  <c r="M26" i="17"/>
  <c r="O26" i="17" s="1"/>
  <c r="R20" i="17"/>
  <c r="M20" i="17"/>
  <c r="O20" i="17" s="1"/>
  <c r="P27" i="17"/>
  <c r="Q27" i="17" s="1"/>
  <c r="K27" i="17"/>
  <c r="L27" i="17" s="1"/>
  <c r="J27" i="17"/>
  <c r="R22" i="17"/>
  <c r="M22" i="17"/>
  <c r="O22" i="17" s="1"/>
  <c r="M23" i="17"/>
  <c r="O23" i="17" s="1"/>
  <c r="R23" i="17"/>
  <c r="R25" i="17"/>
  <c r="M25" i="17"/>
  <c r="O25" i="17" s="1"/>
  <c r="S24" i="8"/>
  <c r="M24" i="8"/>
  <c r="O24" i="8" s="1"/>
  <c r="K22" i="8"/>
  <c r="L22" i="8" s="1"/>
  <c r="J22" i="8"/>
  <c r="K26" i="8"/>
  <c r="L26" i="8" s="1"/>
  <c r="J26" i="8"/>
  <c r="K21" i="8"/>
  <c r="L21" i="8" s="1"/>
  <c r="J21" i="8"/>
  <c r="K23" i="8"/>
  <c r="L23" i="8" s="1"/>
  <c r="J23" i="8"/>
  <c r="K25" i="8"/>
  <c r="L25" i="8" s="1"/>
  <c r="J25" i="8"/>
  <c r="J20" i="8"/>
  <c r="I27" i="8"/>
  <c r="P27" i="8" s="1"/>
  <c r="Q27" i="8" s="1"/>
  <c r="K20" i="8"/>
  <c r="L20" i="8" s="1"/>
  <c r="M27" i="17" l="1"/>
  <c r="O27" i="17" s="1"/>
  <c r="R27" i="17"/>
  <c r="S23" i="8"/>
  <c r="M23" i="8"/>
  <c r="O23" i="8" s="1"/>
  <c r="S22" i="8"/>
  <c r="M22" i="8"/>
  <c r="O22" i="8" s="1"/>
  <c r="S25" i="8"/>
  <c r="M25" i="8"/>
  <c r="O25" i="8" s="1"/>
  <c r="S26" i="8"/>
  <c r="M26" i="8"/>
  <c r="O26" i="8" s="1"/>
  <c r="S21" i="8"/>
  <c r="M21" i="8"/>
  <c r="O21" i="8" s="1"/>
  <c r="S20" i="8"/>
  <c r="M20" i="8"/>
  <c r="O20" i="8" s="1"/>
  <c r="K27" i="8"/>
  <c r="L27" i="8" s="1"/>
  <c r="J27" i="8"/>
  <c r="S27" i="8" l="1"/>
  <c r="M27" i="8"/>
  <c r="O27" i="8" s="1"/>
  <c r="C45" i="7"/>
  <c r="C27" i="7"/>
  <c r="B26" i="7"/>
  <c r="B25" i="7"/>
  <c r="B24" i="7"/>
  <c r="B23" i="7"/>
  <c r="B22" i="7"/>
  <c r="B21" i="7"/>
  <c r="B20" i="7"/>
  <c r="B27" i="7" l="1"/>
  <c r="E25" i="7"/>
  <c r="G25" i="7" s="1"/>
  <c r="E26" i="7"/>
  <c r="G26" i="7" s="1"/>
  <c r="G24" i="7"/>
  <c r="E22" i="7"/>
  <c r="G22" i="7" s="1"/>
  <c r="E21" i="7"/>
  <c r="F21" i="7"/>
  <c r="A4" i="7"/>
  <c r="B3" i="7"/>
  <c r="B52" i="5"/>
  <c r="B47" i="5"/>
  <c r="D83" i="6"/>
  <c r="E83" i="6"/>
  <c r="F83" i="6"/>
  <c r="G83" i="6"/>
  <c r="H83" i="6"/>
  <c r="I83" i="6"/>
  <c r="C83" i="6"/>
  <c r="B64" i="6"/>
  <c r="B65" i="6"/>
  <c r="B66" i="6"/>
  <c r="B67" i="6"/>
  <c r="B68" i="6"/>
  <c r="B69" i="6"/>
  <c r="B70" i="6"/>
  <c r="B72" i="6"/>
  <c r="B73" i="6"/>
  <c r="B74" i="6"/>
  <c r="B75" i="6"/>
  <c r="B77" i="6"/>
  <c r="B78" i="6"/>
  <c r="B79" i="6"/>
  <c r="B80" i="6"/>
  <c r="B81" i="6"/>
  <c r="B82" i="6"/>
  <c r="B63" i="6"/>
  <c r="C104" i="6"/>
  <c r="G103" i="6"/>
  <c r="C101" i="6"/>
  <c r="G100" i="6"/>
  <c r="D100" i="6"/>
  <c r="G97" i="6"/>
  <c r="C95" i="6"/>
  <c r="G92" i="6"/>
  <c r="D92" i="6"/>
  <c r="C92" i="6"/>
  <c r="G89" i="6"/>
  <c r="C89" i="6"/>
  <c r="G86" i="6"/>
  <c r="G58" i="6"/>
  <c r="G104" i="6" s="1"/>
  <c r="D58" i="6"/>
  <c r="D104" i="6" s="1"/>
  <c r="C58" i="6"/>
  <c r="B58" i="6"/>
  <c r="G57" i="6"/>
  <c r="C57" i="6"/>
  <c r="C103" i="6" s="1"/>
  <c r="B57" i="6"/>
  <c r="G56" i="6"/>
  <c r="G102" i="6" s="1"/>
  <c r="C56" i="6"/>
  <c r="C102" i="6" s="1"/>
  <c r="B56" i="6"/>
  <c r="G55" i="6"/>
  <c r="G101" i="6" s="1"/>
  <c r="D55" i="6"/>
  <c r="D101" i="6" s="1"/>
  <c r="C55" i="6"/>
  <c r="B55" i="6"/>
  <c r="G54" i="6"/>
  <c r="D54" i="6"/>
  <c r="C54" i="6"/>
  <c r="C100" i="6" s="1"/>
  <c r="B54" i="6"/>
  <c r="G53" i="6"/>
  <c r="G99" i="6" s="1"/>
  <c r="C53" i="6"/>
  <c r="C99" i="6" s="1"/>
  <c r="B53" i="6"/>
  <c r="G52" i="6"/>
  <c r="G98" i="6" s="1"/>
  <c r="C52" i="6"/>
  <c r="C98" i="6" s="1"/>
  <c r="B52" i="6"/>
  <c r="B76" i="6" s="1"/>
  <c r="G51" i="6"/>
  <c r="C51" i="6"/>
  <c r="C97" i="6" s="1"/>
  <c r="B51" i="6"/>
  <c r="G50" i="6"/>
  <c r="G96" i="6" s="1"/>
  <c r="C50" i="6"/>
  <c r="C96" i="6" s="1"/>
  <c r="B50" i="6"/>
  <c r="G49" i="6"/>
  <c r="G95" i="6" s="1"/>
  <c r="C49" i="6"/>
  <c r="B49" i="6"/>
  <c r="A49" i="6"/>
  <c r="G48" i="6"/>
  <c r="G94" i="6" s="1"/>
  <c r="C48" i="6"/>
  <c r="C94" i="6" s="1"/>
  <c r="B48" i="6"/>
  <c r="G47" i="6"/>
  <c r="G93" i="6" s="1"/>
  <c r="C47" i="6"/>
  <c r="C93" i="6" s="1"/>
  <c r="B47" i="6"/>
  <c r="B71" i="6" s="1"/>
  <c r="G46" i="6"/>
  <c r="D46" i="6"/>
  <c r="C46" i="6"/>
  <c r="B46" i="6"/>
  <c r="G45" i="6"/>
  <c r="G91" i="6" s="1"/>
  <c r="D45" i="6"/>
  <c r="D91" i="6" s="1"/>
  <c r="C45" i="6"/>
  <c r="C91" i="6" s="1"/>
  <c r="B45" i="6"/>
  <c r="G44" i="6"/>
  <c r="G90" i="6" s="1"/>
  <c r="C44" i="6"/>
  <c r="C90" i="6" s="1"/>
  <c r="B44" i="6"/>
  <c r="G43" i="6"/>
  <c r="C43" i="6"/>
  <c r="B43" i="6"/>
  <c r="G42" i="6"/>
  <c r="G88" i="6" s="1"/>
  <c r="C42" i="6"/>
  <c r="C88" i="6" s="1"/>
  <c r="B42" i="6"/>
  <c r="G41" i="6"/>
  <c r="G87" i="6" s="1"/>
  <c r="D41" i="6"/>
  <c r="D87" i="6" s="1"/>
  <c r="C41" i="6"/>
  <c r="C87" i="6" s="1"/>
  <c r="B41" i="6"/>
  <c r="G40" i="6"/>
  <c r="C40" i="6"/>
  <c r="C86" i="6" s="1"/>
  <c r="B40" i="6"/>
  <c r="G39" i="6"/>
  <c r="G59" i="6" s="1"/>
  <c r="G105" i="6" s="1"/>
  <c r="D39" i="6"/>
  <c r="D85" i="6" s="1"/>
  <c r="C39" i="6"/>
  <c r="C85" i="6" s="1"/>
  <c r="B39" i="6"/>
  <c r="C35" i="6"/>
  <c r="G32" i="6"/>
  <c r="G35" i="6" s="1"/>
  <c r="C32" i="6"/>
  <c r="B32" i="6"/>
  <c r="E31" i="6"/>
  <c r="E58" i="6" s="1"/>
  <c r="E104" i="6" s="1"/>
  <c r="D31" i="6"/>
  <c r="D30" i="6"/>
  <c r="E30" i="6" s="1"/>
  <c r="D29" i="6"/>
  <c r="D56" i="6" s="1"/>
  <c r="D102" i="6" s="1"/>
  <c r="E28" i="6"/>
  <c r="E55" i="6" s="1"/>
  <c r="E101" i="6" s="1"/>
  <c r="D28" i="6"/>
  <c r="H27" i="6"/>
  <c r="I27" i="6" s="1"/>
  <c r="I54" i="6" s="1"/>
  <c r="I100" i="6" s="1"/>
  <c r="E27" i="6"/>
  <c r="F27" i="6" s="1"/>
  <c r="F54" i="6" s="1"/>
  <c r="F100" i="6" s="1"/>
  <c r="D27" i="6"/>
  <c r="D26" i="6"/>
  <c r="D53" i="6" s="1"/>
  <c r="D99" i="6" s="1"/>
  <c r="E25" i="6"/>
  <c r="H25" i="6" s="1"/>
  <c r="D25" i="6"/>
  <c r="D24" i="6"/>
  <c r="D52" i="6" s="1"/>
  <c r="D98" i="6" s="1"/>
  <c r="D23" i="6"/>
  <c r="E23" i="6" s="1"/>
  <c r="F22" i="6"/>
  <c r="F50" i="6" s="1"/>
  <c r="F96" i="6" s="1"/>
  <c r="E22" i="6"/>
  <c r="H22" i="6" s="1"/>
  <c r="D22" i="6"/>
  <c r="D50" i="6" s="1"/>
  <c r="D96" i="6" s="1"/>
  <c r="D21" i="6"/>
  <c r="D49" i="6" s="1"/>
  <c r="D95" i="6" s="1"/>
  <c r="D20" i="6"/>
  <c r="E20" i="6" s="1"/>
  <c r="E19" i="6"/>
  <c r="E43" i="6" s="1"/>
  <c r="E89" i="6" s="1"/>
  <c r="D19" i="6"/>
  <c r="D43" i="6" s="1"/>
  <c r="D89" i="6" s="1"/>
  <c r="D18" i="6"/>
  <c r="D42" i="6" s="1"/>
  <c r="D88" i="6" s="1"/>
  <c r="D17" i="6"/>
  <c r="D44" i="6" s="1"/>
  <c r="D90" i="6" s="1"/>
  <c r="E16" i="6"/>
  <c r="E41" i="6" s="1"/>
  <c r="E87" i="6" s="1"/>
  <c r="D16" i="6"/>
  <c r="D15" i="6"/>
  <c r="D47" i="6" s="1"/>
  <c r="D93" i="6" s="1"/>
  <c r="D14" i="6"/>
  <c r="D40" i="6" s="1"/>
  <c r="D86" i="6" s="1"/>
  <c r="E13" i="6"/>
  <c r="H13" i="6" s="1"/>
  <c r="D13" i="6"/>
  <c r="G10" i="6"/>
  <c r="C10" i="6"/>
  <c r="E9" i="6"/>
  <c r="H9" i="6" s="1"/>
  <c r="H8" i="6"/>
  <c r="I8" i="6" s="1"/>
  <c r="F8" i="6"/>
  <c r="E8" i="6"/>
  <c r="H7" i="6"/>
  <c r="I7" i="6" s="1"/>
  <c r="E7" i="6"/>
  <c r="F7" i="6" s="1"/>
  <c r="E6" i="6"/>
  <c r="H6" i="6" s="1"/>
  <c r="I6" i="6" s="1"/>
  <c r="H5" i="6"/>
  <c r="I5" i="6" s="1"/>
  <c r="F5" i="6"/>
  <c r="E5" i="6"/>
  <c r="H4" i="6"/>
  <c r="I4" i="6" s="1"/>
  <c r="E4" i="6"/>
  <c r="F4" i="6" s="1"/>
  <c r="E3" i="6"/>
  <c r="H3" i="6" s="1"/>
  <c r="I3" i="6" s="1"/>
  <c r="D2" i="6"/>
  <c r="E2" i="6" s="1"/>
  <c r="G21" i="7" l="1"/>
  <c r="C44" i="7"/>
  <c r="C46" i="7"/>
  <c r="B4" i="7"/>
  <c r="E15" i="6"/>
  <c r="D48" i="6"/>
  <c r="D94" i="6" s="1"/>
  <c r="B59" i="6"/>
  <c r="H20" i="6"/>
  <c r="F20" i="6"/>
  <c r="F48" i="6" s="1"/>
  <c r="F94" i="6" s="1"/>
  <c r="E48" i="6"/>
  <c r="E94" i="6" s="1"/>
  <c r="H50" i="6"/>
  <c r="H96" i="6" s="1"/>
  <c r="I22" i="6"/>
  <c r="I50" i="6" s="1"/>
  <c r="I96" i="6" s="1"/>
  <c r="F30" i="6"/>
  <c r="F57" i="6" s="1"/>
  <c r="F103" i="6" s="1"/>
  <c r="E57" i="6"/>
  <c r="E103" i="6" s="1"/>
  <c r="H30" i="6"/>
  <c r="I13" i="6"/>
  <c r="H39" i="6"/>
  <c r="F23" i="6"/>
  <c r="F51" i="6" s="1"/>
  <c r="F97" i="6" s="1"/>
  <c r="E51" i="6"/>
  <c r="E97" i="6" s="1"/>
  <c r="H23" i="6"/>
  <c r="H2" i="6"/>
  <c r="F2" i="6"/>
  <c r="E10" i="6"/>
  <c r="I25" i="6"/>
  <c r="I45" i="6" s="1"/>
  <c r="I91" i="6" s="1"/>
  <c r="H45" i="6"/>
  <c r="H91" i="6" s="1"/>
  <c r="H46" i="6"/>
  <c r="H92" i="6" s="1"/>
  <c r="I9" i="6"/>
  <c r="I46" i="6" s="1"/>
  <c r="I92" i="6" s="1"/>
  <c r="F16" i="6"/>
  <c r="F41" i="6" s="1"/>
  <c r="F87" i="6" s="1"/>
  <c r="E21" i="6"/>
  <c r="F28" i="6"/>
  <c r="F55" i="6" s="1"/>
  <c r="F101" i="6" s="1"/>
  <c r="E39" i="6"/>
  <c r="E45" i="6"/>
  <c r="E91" i="6" s="1"/>
  <c r="D51" i="6"/>
  <c r="D97" i="6" s="1"/>
  <c r="D57" i="6"/>
  <c r="D103" i="6" s="1"/>
  <c r="D10" i="6"/>
  <c r="E14" i="6"/>
  <c r="H16" i="6"/>
  <c r="E26" i="6"/>
  <c r="H28" i="6"/>
  <c r="E54" i="6"/>
  <c r="E100" i="6" s="1"/>
  <c r="F19" i="6"/>
  <c r="F43" i="6" s="1"/>
  <c r="F89" i="6" s="1"/>
  <c r="E17" i="6"/>
  <c r="H19" i="6"/>
  <c r="E29" i="6"/>
  <c r="H31" i="6"/>
  <c r="E47" i="6"/>
  <c r="E93" i="6" s="1"/>
  <c r="H54" i="6"/>
  <c r="H100" i="6" s="1"/>
  <c r="D59" i="6"/>
  <c r="D105" i="6" s="1"/>
  <c r="G85" i="6"/>
  <c r="E24" i="6"/>
  <c r="F31" i="6"/>
  <c r="F58" i="6" s="1"/>
  <c r="F104" i="6" s="1"/>
  <c r="C59" i="6"/>
  <c r="C105" i="6" s="1"/>
  <c r="E50" i="6"/>
  <c r="E96" i="6" s="1"/>
  <c r="D32" i="6"/>
  <c r="E46" i="6"/>
  <c r="E92" i="6" s="1"/>
  <c r="F3" i="6"/>
  <c r="F6" i="6"/>
  <c r="F9" i="6"/>
  <c r="F46" i="6" s="1"/>
  <c r="F92" i="6" s="1"/>
  <c r="F13" i="6"/>
  <c r="E18" i="6"/>
  <c r="F25" i="6"/>
  <c r="F45" i="6" s="1"/>
  <c r="F91" i="6" s="1"/>
  <c r="D24" i="7" l="1"/>
  <c r="D22" i="7"/>
  <c r="D20" i="7"/>
  <c r="D26" i="7"/>
  <c r="D23" i="7"/>
  <c r="D25" i="7"/>
  <c r="F15" i="6"/>
  <c r="F47" i="6" s="1"/>
  <c r="F93" i="6" s="1"/>
  <c r="H15" i="6"/>
  <c r="E32" i="6"/>
  <c r="D35" i="6"/>
  <c r="H85" i="6"/>
  <c r="I28" i="6"/>
  <c r="I55" i="6" s="1"/>
  <c r="I101" i="6" s="1"/>
  <c r="H55" i="6"/>
  <c r="H101" i="6" s="1"/>
  <c r="E49" i="6"/>
  <c r="E95" i="6" s="1"/>
  <c r="H21" i="6"/>
  <c r="F21" i="6"/>
  <c r="F49" i="6" s="1"/>
  <c r="F95" i="6" s="1"/>
  <c r="E52" i="6"/>
  <c r="E98" i="6" s="1"/>
  <c r="H24" i="6"/>
  <c r="F24" i="6"/>
  <c r="F52" i="6" s="1"/>
  <c r="F98" i="6" s="1"/>
  <c r="E53" i="6"/>
  <c r="E99" i="6" s="1"/>
  <c r="H26" i="6"/>
  <c r="F26" i="6"/>
  <c r="F53" i="6" s="1"/>
  <c r="F99" i="6" s="1"/>
  <c r="H57" i="6"/>
  <c r="H103" i="6" s="1"/>
  <c r="I30" i="6"/>
  <c r="I57" i="6" s="1"/>
  <c r="I103" i="6" s="1"/>
  <c r="F18" i="6"/>
  <c r="F42" i="6" s="1"/>
  <c r="F88" i="6" s="1"/>
  <c r="E42" i="6"/>
  <c r="E88" i="6" s="1"/>
  <c r="H18" i="6"/>
  <c r="H41" i="6"/>
  <c r="H87" i="6" s="1"/>
  <c r="I16" i="6"/>
  <c r="I41" i="6" s="1"/>
  <c r="I87" i="6" s="1"/>
  <c r="E40" i="6"/>
  <c r="E86" i="6" s="1"/>
  <c r="F14" i="6"/>
  <c r="F40" i="6" s="1"/>
  <c r="F86" i="6" s="1"/>
  <c r="H14" i="6"/>
  <c r="E35" i="6"/>
  <c r="F10" i="6"/>
  <c r="F39" i="6"/>
  <c r="I31" i="6"/>
  <c r="I58" i="6" s="1"/>
  <c r="I104" i="6" s="1"/>
  <c r="H58" i="6"/>
  <c r="H104" i="6" s="1"/>
  <c r="I2" i="6"/>
  <c r="I10" i="6" s="1"/>
  <c r="H10" i="6"/>
  <c r="H17" i="6"/>
  <c r="F17" i="6"/>
  <c r="F44" i="6" s="1"/>
  <c r="F90" i="6" s="1"/>
  <c r="E44" i="6"/>
  <c r="E90" i="6" s="1"/>
  <c r="H51" i="6"/>
  <c r="H97" i="6" s="1"/>
  <c r="I23" i="6"/>
  <c r="I51" i="6" s="1"/>
  <c r="I97" i="6" s="1"/>
  <c r="H29" i="6"/>
  <c r="E56" i="6"/>
  <c r="E102" i="6" s="1"/>
  <c r="F29" i="6"/>
  <c r="F56" i="6" s="1"/>
  <c r="F102" i="6" s="1"/>
  <c r="H43" i="6"/>
  <c r="H89" i="6" s="1"/>
  <c r="I19" i="6"/>
  <c r="I43" i="6" s="1"/>
  <c r="I89" i="6" s="1"/>
  <c r="E85" i="6"/>
  <c r="I20" i="6"/>
  <c r="I48" i="6" s="1"/>
  <c r="I94" i="6" s="1"/>
  <c r="H48" i="6"/>
  <c r="H94" i="6" s="1"/>
  <c r="C86" i="3"/>
  <c r="D86" i="3"/>
  <c r="E86" i="3"/>
  <c r="F86" i="3"/>
  <c r="G86" i="3"/>
  <c r="H86" i="3"/>
  <c r="I86" i="3"/>
  <c r="C87" i="3"/>
  <c r="D87" i="3"/>
  <c r="E87" i="3"/>
  <c r="F87" i="3"/>
  <c r="G87" i="3"/>
  <c r="H87" i="3"/>
  <c r="I87" i="3"/>
  <c r="C88" i="3"/>
  <c r="D88" i="3"/>
  <c r="E88" i="3"/>
  <c r="F88" i="3"/>
  <c r="G88" i="3"/>
  <c r="H88" i="3"/>
  <c r="I88" i="3"/>
  <c r="C89" i="3"/>
  <c r="D89" i="3"/>
  <c r="E89" i="3"/>
  <c r="F89" i="3"/>
  <c r="G89" i="3"/>
  <c r="H89" i="3"/>
  <c r="I89" i="3"/>
  <c r="C90" i="3"/>
  <c r="D90" i="3"/>
  <c r="E90" i="3"/>
  <c r="F90" i="3"/>
  <c r="G90" i="3"/>
  <c r="H90" i="3"/>
  <c r="I90" i="3"/>
  <c r="C91" i="3"/>
  <c r="D91" i="3"/>
  <c r="E91" i="3"/>
  <c r="F91" i="3"/>
  <c r="G91" i="3"/>
  <c r="H91" i="3"/>
  <c r="I91" i="3"/>
  <c r="C92" i="3"/>
  <c r="D92" i="3"/>
  <c r="E92" i="3"/>
  <c r="F92" i="3"/>
  <c r="G92" i="3"/>
  <c r="H92" i="3"/>
  <c r="I92" i="3"/>
  <c r="C93" i="3"/>
  <c r="D93" i="3"/>
  <c r="E93" i="3"/>
  <c r="F93" i="3"/>
  <c r="G93" i="3"/>
  <c r="H93" i="3"/>
  <c r="I93" i="3"/>
  <c r="C94" i="3"/>
  <c r="D94" i="3"/>
  <c r="E94" i="3"/>
  <c r="F94" i="3"/>
  <c r="G94" i="3"/>
  <c r="H94" i="3"/>
  <c r="I94" i="3"/>
  <c r="C95" i="3"/>
  <c r="D95" i="3"/>
  <c r="E95" i="3"/>
  <c r="F95" i="3"/>
  <c r="G95" i="3"/>
  <c r="H95" i="3"/>
  <c r="I95" i="3"/>
  <c r="C96" i="3"/>
  <c r="D96" i="3"/>
  <c r="E96" i="3"/>
  <c r="F96" i="3"/>
  <c r="G96" i="3"/>
  <c r="H96" i="3"/>
  <c r="I96" i="3"/>
  <c r="C97" i="3"/>
  <c r="D97" i="3"/>
  <c r="E97" i="3"/>
  <c r="F97" i="3"/>
  <c r="G97" i="3"/>
  <c r="H97" i="3"/>
  <c r="I97" i="3"/>
  <c r="C98" i="3"/>
  <c r="D98" i="3"/>
  <c r="E98" i="3"/>
  <c r="F98" i="3"/>
  <c r="G98" i="3"/>
  <c r="H98" i="3"/>
  <c r="I98" i="3"/>
  <c r="C99" i="3"/>
  <c r="D99" i="3"/>
  <c r="E99" i="3"/>
  <c r="F99" i="3"/>
  <c r="G99" i="3"/>
  <c r="H99" i="3"/>
  <c r="I99" i="3"/>
  <c r="C100" i="3"/>
  <c r="D100" i="3"/>
  <c r="E100" i="3"/>
  <c r="F100" i="3"/>
  <c r="G100" i="3"/>
  <c r="H100" i="3"/>
  <c r="I100" i="3"/>
  <c r="C101" i="3"/>
  <c r="D101" i="3"/>
  <c r="E101" i="3"/>
  <c r="F101" i="3"/>
  <c r="G101" i="3"/>
  <c r="H101" i="3"/>
  <c r="I101" i="3"/>
  <c r="C102" i="3"/>
  <c r="D102" i="3"/>
  <c r="E102" i="3"/>
  <c r="F102" i="3"/>
  <c r="G102" i="3"/>
  <c r="H102" i="3"/>
  <c r="I102" i="3"/>
  <c r="C103" i="3"/>
  <c r="D103" i="3"/>
  <c r="E103" i="3"/>
  <c r="F103" i="3"/>
  <c r="G103" i="3"/>
  <c r="H103" i="3"/>
  <c r="I103" i="3"/>
  <c r="C104" i="3"/>
  <c r="D104" i="3"/>
  <c r="E104" i="3"/>
  <c r="F104" i="3"/>
  <c r="G104" i="3"/>
  <c r="H104" i="3"/>
  <c r="I104" i="3"/>
  <c r="C105" i="3"/>
  <c r="D105" i="3"/>
  <c r="E105" i="3"/>
  <c r="F105" i="3"/>
  <c r="G105" i="3"/>
  <c r="H105" i="3"/>
  <c r="I105" i="3"/>
  <c r="I85" i="3"/>
  <c r="D85" i="3"/>
  <c r="E85" i="3"/>
  <c r="F85" i="3"/>
  <c r="G85" i="3"/>
  <c r="H85" i="3"/>
  <c r="C85" i="3"/>
  <c r="D14" i="5"/>
  <c r="E14" i="5" s="1"/>
  <c r="F14" i="5" s="1"/>
  <c r="D15" i="5"/>
  <c r="D47" i="5" s="1"/>
  <c r="D16" i="5"/>
  <c r="D41" i="5" s="1"/>
  <c r="D17" i="5"/>
  <c r="D44" i="5" s="1"/>
  <c r="D18" i="5"/>
  <c r="D19" i="5"/>
  <c r="D20" i="5"/>
  <c r="D21" i="5"/>
  <c r="D22" i="5"/>
  <c r="D23" i="5"/>
  <c r="D24" i="5"/>
  <c r="E24" i="5" s="1"/>
  <c r="D13" i="5"/>
  <c r="E21" i="5"/>
  <c r="D50" i="5"/>
  <c r="D51" i="5"/>
  <c r="E20" i="5"/>
  <c r="C14" i="5"/>
  <c r="C40" i="5" s="1"/>
  <c r="C15" i="5"/>
  <c r="C16" i="5"/>
  <c r="C41" i="5" s="1"/>
  <c r="C17" i="5"/>
  <c r="C18" i="5"/>
  <c r="C19" i="5"/>
  <c r="C20" i="5"/>
  <c r="C48" i="5" s="1"/>
  <c r="C21" i="5"/>
  <c r="C22" i="5"/>
  <c r="C23" i="5"/>
  <c r="C24" i="5"/>
  <c r="C25" i="5"/>
  <c r="C45" i="5" s="1"/>
  <c r="C26" i="5"/>
  <c r="C53" i="5" s="1"/>
  <c r="C27" i="5"/>
  <c r="C54" i="5" s="1"/>
  <c r="C55" i="5"/>
  <c r="C31" i="5"/>
  <c r="C13" i="5"/>
  <c r="C39" i="5" s="1"/>
  <c r="D2" i="5"/>
  <c r="E2" i="5" s="1"/>
  <c r="C3" i="5"/>
  <c r="C4" i="5"/>
  <c r="C5" i="5"/>
  <c r="C6" i="5"/>
  <c r="C7" i="5"/>
  <c r="C8" i="5"/>
  <c r="C2" i="5"/>
  <c r="G58" i="5"/>
  <c r="D58" i="5"/>
  <c r="C58" i="5"/>
  <c r="B58" i="5"/>
  <c r="G57" i="5"/>
  <c r="C57" i="5"/>
  <c r="B57" i="5"/>
  <c r="G56" i="5"/>
  <c r="C56" i="5"/>
  <c r="B56" i="5"/>
  <c r="G55" i="5"/>
  <c r="D55" i="5"/>
  <c r="B55" i="5"/>
  <c r="G54" i="5"/>
  <c r="B54" i="5"/>
  <c r="G53" i="5"/>
  <c r="B53" i="5"/>
  <c r="G52" i="5"/>
  <c r="C52" i="5"/>
  <c r="G51" i="5"/>
  <c r="C51" i="5"/>
  <c r="B51" i="5"/>
  <c r="G50" i="5"/>
  <c r="C50" i="5"/>
  <c r="B50" i="5"/>
  <c r="G49" i="5"/>
  <c r="C49" i="5"/>
  <c r="B49" i="5"/>
  <c r="A49" i="5"/>
  <c r="G48" i="5"/>
  <c r="B48" i="5"/>
  <c r="G47" i="5"/>
  <c r="G46" i="5"/>
  <c r="D46" i="5"/>
  <c r="C46" i="5"/>
  <c r="B46" i="5"/>
  <c r="G45" i="5"/>
  <c r="B45" i="5"/>
  <c r="G44" i="5"/>
  <c r="C44" i="5"/>
  <c r="B44" i="5"/>
  <c r="G43" i="5"/>
  <c r="C43" i="5"/>
  <c r="B43" i="5"/>
  <c r="G42" i="5"/>
  <c r="C42" i="5"/>
  <c r="B42" i="5"/>
  <c r="G41" i="5"/>
  <c r="B41" i="5"/>
  <c r="G40" i="5"/>
  <c r="B40" i="5"/>
  <c r="G39" i="5"/>
  <c r="G59" i="5" s="1"/>
  <c r="B39" i="5"/>
  <c r="G32" i="5"/>
  <c r="B32" i="5"/>
  <c r="E31" i="5"/>
  <c r="E58" i="5" s="1"/>
  <c r="D31" i="5"/>
  <c r="D30" i="5"/>
  <c r="E30" i="5" s="1"/>
  <c r="D29" i="5"/>
  <c r="D56" i="5" s="1"/>
  <c r="D28" i="5"/>
  <c r="D27" i="5"/>
  <c r="D54" i="5" s="1"/>
  <c r="D26" i="5"/>
  <c r="D53" i="5" s="1"/>
  <c r="E25" i="5"/>
  <c r="D25" i="5"/>
  <c r="D45" i="5" s="1"/>
  <c r="E19" i="5"/>
  <c r="F19" i="5" s="1"/>
  <c r="D43" i="5"/>
  <c r="E18" i="5"/>
  <c r="G10" i="5"/>
  <c r="G35" i="5" s="1"/>
  <c r="C10" i="5"/>
  <c r="E9" i="5"/>
  <c r="E46" i="5" s="1"/>
  <c r="E8" i="5"/>
  <c r="H8" i="5" s="1"/>
  <c r="I8" i="5" s="1"/>
  <c r="H7" i="5"/>
  <c r="I7" i="5" s="1"/>
  <c r="F7" i="5"/>
  <c r="E7" i="5"/>
  <c r="E6" i="5"/>
  <c r="H5" i="5"/>
  <c r="I5" i="5" s="1"/>
  <c r="E5" i="5"/>
  <c r="F5" i="5" s="1"/>
  <c r="E4" i="5"/>
  <c r="H4" i="5" s="1"/>
  <c r="I4" i="5" s="1"/>
  <c r="E3" i="5"/>
  <c r="A21" i="1"/>
  <c r="A23" i="1"/>
  <c r="A25" i="1"/>
  <c r="A24" i="2"/>
  <c r="A25" i="2"/>
  <c r="A26" i="2"/>
  <c r="A19" i="4"/>
  <c r="F20" i="7" l="1"/>
  <c r="E20" i="7"/>
  <c r="I15" i="6"/>
  <c r="I47" i="6" s="1"/>
  <c r="I93" i="6" s="1"/>
  <c r="H47" i="6"/>
  <c r="H93" i="6" s="1"/>
  <c r="D40" i="5"/>
  <c r="B59" i="5"/>
  <c r="I24" i="6"/>
  <c r="I52" i="6" s="1"/>
  <c r="I98" i="6" s="1"/>
  <c r="H52" i="6"/>
  <c r="H98" i="6" s="1"/>
  <c r="H44" i="6"/>
  <c r="H90" i="6" s="1"/>
  <c r="I17" i="6"/>
  <c r="I44" i="6" s="1"/>
  <c r="I90" i="6" s="1"/>
  <c r="E59" i="6"/>
  <c r="E105" i="6" s="1"/>
  <c r="H42" i="6"/>
  <c r="H88" i="6" s="1"/>
  <c r="I18" i="6"/>
  <c r="I42" i="6" s="1"/>
  <c r="I88" i="6" s="1"/>
  <c r="I21" i="6"/>
  <c r="I49" i="6" s="1"/>
  <c r="I95" i="6" s="1"/>
  <c r="H49" i="6"/>
  <c r="H95" i="6" s="1"/>
  <c r="F59" i="6"/>
  <c r="F105" i="6" s="1"/>
  <c r="F85" i="6"/>
  <c r="I39" i="6"/>
  <c r="F32" i="6"/>
  <c r="F35" i="6" s="1"/>
  <c r="H56" i="6"/>
  <c r="H102" i="6" s="1"/>
  <c r="I29" i="6"/>
  <c r="I56" i="6" s="1"/>
  <c r="I102" i="6" s="1"/>
  <c r="H53" i="6"/>
  <c r="H99" i="6" s="1"/>
  <c r="I26" i="6"/>
  <c r="I53" i="6" s="1"/>
  <c r="I99" i="6" s="1"/>
  <c r="H40" i="6"/>
  <c r="I14" i="6"/>
  <c r="H32" i="6"/>
  <c r="H35" i="6" s="1"/>
  <c r="D52" i="5"/>
  <c r="D49" i="5"/>
  <c r="E22" i="5"/>
  <c r="E50" i="5" s="1"/>
  <c r="E43" i="5"/>
  <c r="E15" i="5"/>
  <c r="H15" i="5" s="1"/>
  <c r="H47" i="5" s="1"/>
  <c r="E26" i="5"/>
  <c r="E40" i="5"/>
  <c r="H14" i="5"/>
  <c r="I14" i="5" s="1"/>
  <c r="I40" i="5" s="1"/>
  <c r="C47" i="5"/>
  <c r="C59" i="5" s="1"/>
  <c r="E27" i="5"/>
  <c r="E28" i="5"/>
  <c r="E55" i="5" s="1"/>
  <c r="C32" i="5"/>
  <c r="C35" i="5" s="1"/>
  <c r="E13" i="5"/>
  <c r="F13" i="5" s="1"/>
  <c r="D39" i="5"/>
  <c r="F8" i="5"/>
  <c r="F4" i="5"/>
  <c r="E45" i="5"/>
  <c r="E42" i="5"/>
  <c r="F18" i="5"/>
  <c r="F42" i="5" s="1"/>
  <c r="H18" i="5"/>
  <c r="F20" i="5"/>
  <c r="F48" i="5" s="1"/>
  <c r="E48" i="5"/>
  <c r="H20" i="5"/>
  <c r="F40" i="5"/>
  <c r="H2" i="5"/>
  <c r="F2" i="5"/>
  <c r="E10" i="5"/>
  <c r="H28" i="5"/>
  <c r="F28" i="5"/>
  <c r="F55" i="5" s="1"/>
  <c r="E49" i="5"/>
  <c r="H21" i="5"/>
  <c r="F21" i="5"/>
  <c r="F49" i="5" s="1"/>
  <c r="E52" i="5"/>
  <c r="H24" i="5"/>
  <c r="F24" i="5"/>
  <c r="F52" i="5" s="1"/>
  <c r="E57" i="5"/>
  <c r="F30" i="5"/>
  <c r="F57" i="5" s="1"/>
  <c r="H30" i="5"/>
  <c r="F3" i="5"/>
  <c r="F9" i="5"/>
  <c r="F46" i="5" s="1"/>
  <c r="F25" i="5"/>
  <c r="H6" i="5"/>
  <c r="I6" i="5" s="1"/>
  <c r="H25" i="5"/>
  <c r="E16" i="5"/>
  <c r="D42" i="5"/>
  <c r="D48" i="5"/>
  <c r="D32" i="5"/>
  <c r="F6" i="5"/>
  <c r="F43" i="5" s="1"/>
  <c r="H3" i="5"/>
  <c r="I3" i="5" s="1"/>
  <c r="H9" i="5"/>
  <c r="E23" i="5"/>
  <c r="D57" i="5"/>
  <c r="D10" i="5"/>
  <c r="E54" i="5"/>
  <c r="F31" i="5"/>
  <c r="F58" i="5" s="1"/>
  <c r="E17" i="5"/>
  <c r="H19" i="5"/>
  <c r="E29" i="5"/>
  <c r="H31" i="5"/>
  <c r="G20" i="7" l="1"/>
  <c r="G23" i="7"/>
  <c r="F15" i="5"/>
  <c r="F47" i="5" s="1"/>
  <c r="I40" i="6"/>
  <c r="I86" i="6" s="1"/>
  <c r="I32" i="6"/>
  <c r="I35" i="6" s="1"/>
  <c r="H86" i="6"/>
  <c r="H59" i="6"/>
  <c r="H105" i="6" s="1"/>
  <c r="I85" i="6"/>
  <c r="E47" i="5"/>
  <c r="H22" i="5"/>
  <c r="H50" i="5" s="1"/>
  <c r="F22" i="5"/>
  <c r="F50" i="5" s="1"/>
  <c r="E39" i="5"/>
  <c r="E32" i="5"/>
  <c r="E35" i="5" s="1"/>
  <c r="F27" i="5"/>
  <c r="F54" i="5" s="1"/>
  <c r="H27" i="5"/>
  <c r="I15" i="5"/>
  <c r="I47" i="5" s="1"/>
  <c r="E53" i="5"/>
  <c r="H26" i="5"/>
  <c r="F26" i="5"/>
  <c r="F53" i="5" s="1"/>
  <c r="H13" i="5"/>
  <c r="I13" i="5" s="1"/>
  <c r="D59" i="5"/>
  <c r="F45" i="5"/>
  <c r="H46" i="5"/>
  <c r="I9" i="5"/>
  <c r="I46" i="5" s="1"/>
  <c r="I21" i="5"/>
  <c r="I49" i="5" s="1"/>
  <c r="H49" i="5"/>
  <c r="H48" i="5"/>
  <c r="I20" i="5"/>
  <c r="I48" i="5" s="1"/>
  <c r="I24" i="5"/>
  <c r="I52" i="5" s="1"/>
  <c r="H52" i="5"/>
  <c r="I28" i="5"/>
  <c r="I55" i="5" s="1"/>
  <c r="H55" i="5"/>
  <c r="I19" i="5"/>
  <c r="I43" i="5" s="1"/>
  <c r="H43" i="5"/>
  <c r="H17" i="5"/>
  <c r="F17" i="5"/>
  <c r="F44" i="5" s="1"/>
  <c r="E44" i="5"/>
  <c r="H57" i="5"/>
  <c r="I30" i="5"/>
  <c r="I57" i="5" s="1"/>
  <c r="E51" i="5"/>
  <c r="H23" i="5"/>
  <c r="F23" i="5"/>
  <c r="F51" i="5" s="1"/>
  <c r="I31" i="5"/>
  <c r="I58" i="5" s="1"/>
  <c r="H58" i="5"/>
  <c r="H40" i="5"/>
  <c r="F10" i="5"/>
  <c r="F39" i="5"/>
  <c r="H29" i="5"/>
  <c r="E56" i="5"/>
  <c r="F29" i="5"/>
  <c r="F56" i="5" s="1"/>
  <c r="E41" i="5"/>
  <c r="H16" i="5"/>
  <c r="F16" i="5"/>
  <c r="I2" i="5"/>
  <c r="I10" i="5" s="1"/>
  <c r="H10" i="5"/>
  <c r="H42" i="5"/>
  <c r="I18" i="5"/>
  <c r="I42" i="5" s="1"/>
  <c r="D35" i="5"/>
  <c r="H45" i="5"/>
  <c r="I25" i="5"/>
  <c r="I45" i="5" s="1"/>
  <c r="G27" i="7" l="1"/>
  <c r="A5" i="7" s="1"/>
  <c r="A6" i="7" s="1"/>
  <c r="I59" i="6"/>
  <c r="I105" i="6" s="1"/>
  <c r="I22" i="5"/>
  <c r="I50" i="5" s="1"/>
  <c r="H39" i="5"/>
  <c r="H54" i="5"/>
  <c r="I27" i="5"/>
  <c r="I54" i="5" s="1"/>
  <c r="H32" i="5"/>
  <c r="H35" i="5" s="1"/>
  <c r="E59" i="5"/>
  <c r="I26" i="5"/>
  <c r="I53" i="5" s="1"/>
  <c r="H53" i="5"/>
  <c r="F41" i="5"/>
  <c r="F59" i="5" s="1"/>
  <c r="F32" i="5"/>
  <c r="F35" i="5" s="1"/>
  <c r="I39" i="5"/>
  <c r="H51" i="5"/>
  <c r="I23" i="5"/>
  <c r="I51" i="5" s="1"/>
  <c r="I29" i="5"/>
  <c r="I56" i="5" s="1"/>
  <c r="H56" i="5"/>
  <c r="H41" i="5"/>
  <c r="I16" i="5"/>
  <c r="I41" i="5" s="1"/>
  <c r="H44" i="5"/>
  <c r="I17" i="5"/>
  <c r="I44" i="5" s="1"/>
  <c r="B5" i="7" l="1"/>
  <c r="B6" i="7"/>
  <c r="H26" i="7"/>
  <c r="I26" i="7" s="1"/>
  <c r="H23" i="7"/>
  <c r="I23" i="7" s="1"/>
  <c r="H25" i="7"/>
  <c r="I25" i="7" s="1"/>
  <c r="H22" i="7"/>
  <c r="I22" i="7" s="1"/>
  <c r="H24" i="7"/>
  <c r="I24" i="7" s="1"/>
  <c r="H21" i="7"/>
  <c r="I21" i="7" s="1"/>
  <c r="H20" i="7"/>
  <c r="I20" i="7" s="1"/>
  <c r="H59" i="5"/>
  <c r="I59" i="5"/>
  <c r="I32" i="5"/>
  <c r="I35" i="5" s="1"/>
  <c r="J21" i="7" l="1"/>
  <c r="K21" i="7"/>
  <c r="L21" i="7" s="1"/>
  <c r="K25" i="7"/>
  <c r="L25" i="7" s="1"/>
  <c r="J25" i="7"/>
  <c r="J24" i="7"/>
  <c r="K24" i="7"/>
  <c r="L24" i="7" s="1"/>
  <c r="K20" i="7"/>
  <c r="L20" i="7" s="1"/>
  <c r="J20" i="7"/>
  <c r="I27" i="7"/>
  <c r="J23" i="7"/>
  <c r="K23" i="7"/>
  <c r="L23" i="7" s="1"/>
  <c r="J26" i="7"/>
  <c r="K26" i="7"/>
  <c r="L26" i="7" s="1"/>
  <c r="J22" i="7"/>
  <c r="K22" i="7"/>
  <c r="L22" i="7" s="1"/>
  <c r="C49" i="3"/>
  <c r="G49" i="3"/>
  <c r="C50" i="3"/>
  <c r="G50" i="3"/>
  <c r="C51" i="3"/>
  <c r="G51" i="3"/>
  <c r="C52" i="3"/>
  <c r="D52" i="3"/>
  <c r="E52" i="3"/>
  <c r="G52" i="3"/>
  <c r="B50" i="3"/>
  <c r="B51" i="3"/>
  <c r="B52" i="3"/>
  <c r="B49" i="3"/>
  <c r="A49" i="3"/>
  <c r="C39" i="3"/>
  <c r="G39" i="3"/>
  <c r="C40" i="3"/>
  <c r="G40" i="3"/>
  <c r="C41" i="3"/>
  <c r="G41" i="3"/>
  <c r="C42" i="3"/>
  <c r="G42" i="3"/>
  <c r="C43" i="3"/>
  <c r="G43" i="3"/>
  <c r="C44" i="3"/>
  <c r="G44" i="3"/>
  <c r="C45" i="3"/>
  <c r="G45" i="3"/>
  <c r="C46" i="3"/>
  <c r="D46" i="3"/>
  <c r="G46" i="3"/>
  <c r="C47" i="3"/>
  <c r="G47" i="3"/>
  <c r="C48" i="3"/>
  <c r="G48" i="3"/>
  <c r="C53" i="3"/>
  <c r="G53" i="3"/>
  <c r="C54" i="3"/>
  <c r="G54" i="3"/>
  <c r="C55" i="3"/>
  <c r="G55" i="3"/>
  <c r="C56" i="3"/>
  <c r="G56" i="3"/>
  <c r="C57" i="3"/>
  <c r="G57" i="3"/>
  <c r="C58" i="3"/>
  <c r="G58" i="3"/>
  <c r="B54" i="3"/>
  <c r="B55" i="3"/>
  <c r="B56" i="3"/>
  <c r="B57" i="3"/>
  <c r="B58" i="3"/>
  <c r="B53" i="3"/>
  <c r="B48" i="3"/>
  <c r="B47" i="3"/>
  <c r="B46" i="3"/>
  <c r="B45" i="3"/>
  <c r="B44" i="3"/>
  <c r="B43" i="3"/>
  <c r="B42" i="3"/>
  <c r="B41" i="3"/>
  <c r="B40" i="3"/>
  <c r="B39" i="3"/>
  <c r="D14" i="3"/>
  <c r="E14" i="3" s="1"/>
  <c r="D15" i="3"/>
  <c r="D47" i="3" s="1"/>
  <c r="D16" i="3"/>
  <c r="E16" i="3" s="1"/>
  <c r="F16" i="3" s="1"/>
  <c r="D17" i="3"/>
  <c r="E17" i="3" s="1"/>
  <c r="F17" i="3" s="1"/>
  <c r="F44" i="3" s="1"/>
  <c r="D18" i="3"/>
  <c r="E18" i="3" s="1"/>
  <c r="D19" i="3"/>
  <c r="D43" i="3" s="1"/>
  <c r="D20" i="3"/>
  <c r="D48" i="3" s="1"/>
  <c r="D21" i="3"/>
  <c r="E21" i="3" s="1"/>
  <c r="F21" i="3" s="1"/>
  <c r="F49" i="3" s="1"/>
  <c r="D22" i="3"/>
  <c r="E22" i="3" s="1"/>
  <c r="E50" i="3" s="1"/>
  <c r="D23" i="3"/>
  <c r="D51" i="3" s="1"/>
  <c r="D24" i="3"/>
  <c r="E24" i="3" s="1"/>
  <c r="F24" i="3" s="1"/>
  <c r="F52" i="3" s="1"/>
  <c r="D25" i="3"/>
  <c r="E25" i="3" s="1"/>
  <c r="D26" i="3"/>
  <c r="E26" i="3" s="1"/>
  <c r="E53" i="3" s="1"/>
  <c r="D27" i="3"/>
  <c r="E27" i="3" s="1"/>
  <c r="F27" i="3" s="1"/>
  <c r="F54" i="3" s="1"/>
  <c r="D28" i="3"/>
  <c r="E28" i="3" s="1"/>
  <c r="F28" i="3" s="1"/>
  <c r="F55" i="3" s="1"/>
  <c r="D29" i="3"/>
  <c r="E29" i="3" s="1"/>
  <c r="F29" i="3" s="1"/>
  <c r="F56" i="3" s="1"/>
  <c r="D30" i="3"/>
  <c r="E30" i="3" s="1"/>
  <c r="F30" i="3" s="1"/>
  <c r="F57" i="3" s="1"/>
  <c r="D31" i="3"/>
  <c r="E31" i="3" s="1"/>
  <c r="E58" i="3" s="1"/>
  <c r="D13" i="3"/>
  <c r="E15" i="3"/>
  <c r="F15" i="3" s="1"/>
  <c r="F47" i="3" s="1"/>
  <c r="E23" i="3"/>
  <c r="F23" i="3" s="1"/>
  <c r="F51" i="3" s="1"/>
  <c r="C32" i="3"/>
  <c r="G32" i="3"/>
  <c r="B32" i="3"/>
  <c r="D2" i="3"/>
  <c r="E2" i="3" s="1"/>
  <c r="H2" i="3" s="1"/>
  <c r="I2" i="3" s="1"/>
  <c r="G10" i="3"/>
  <c r="G35" i="3" s="1"/>
  <c r="C10" i="3"/>
  <c r="C35" i="3" s="1"/>
  <c r="E3" i="3"/>
  <c r="H3" i="3" s="1"/>
  <c r="I3" i="3" s="1"/>
  <c r="E4" i="3"/>
  <c r="H4" i="3" s="1"/>
  <c r="I4" i="3" s="1"/>
  <c r="E5" i="3"/>
  <c r="H5" i="3" s="1"/>
  <c r="I5" i="3" s="1"/>
  <c r="E6" i="3"/>
  <c r="F6" i="3" s="1"/>
  <c r="E7" i="3"/>
  <c r="F7" i="3" s="1"/>
  <c r="E8" i="3"/>
  <c r="F8" i="3" s="1"/>
  <c r="E9" i="3"/>
  <c r="H9" i="3" s="1"/>
  <c r="H46" i="3" s="1"/>
  <c r="A32" i="1"/>
  <c r="A33" i="2"/>
  <c r="A19" i="2"/>
  <c r="A18" i="1"/>
  <c r="K27" i="7" l="1"/>
  <c r="L27" i="7" s="1"/>
  <c r="J27" i="7"/>
  <c r="D54" i="3"/>
  <c r="D39" i="3"/>
  <c r="D58" i="3"/>
  <c r="D50" i="3"/>
  <c r="D57" i="3"/>
  <c r="E20" i="3"/>
  <c r="H20" i="3" s="1"/>
  <c r="I20" i="3" s="1"/>
  <c r="I48" i="3" s="1"/>
  <c r="E19" i="3"/>
  <c r="F19" i="3" s="1"/>
  <c r="F43" i="3" s="1"/>
  <c r="E40" i="3"/>
  <c r="E51" i="3"/>
  <c r="E42" i="3"/>
  <c r="E45" i="3"/>
  <c r="F31" i="3"/>
  <c r="F58" i="3" s="1"/>
  <c r="D41" i="3"/>
  <c r="E49" i="3"/>
  <c r="D49" i="3"/>
  <c r="G59" i="3"/>
  <c r="B59" i="3"/>
  <c r="C59" i="3"/>
  <c r="F25" i="3"/>
  <c r="F45" i="3" s="1"/>
  <c r="E46" i="3"/>
  <c r="E57" i="3"/>
  <c r="E44" i="3"/>
  <c r="D44" i="3"/>
  <c r="F22" i="3"/>
  <c r="F50" i="3" s="1"/>
  <c r="E55" i="3"/>
  <c r="D55" i="3"/>
  <c r="E47" i="3"/>
  <c r="D42" i="3"/>
  <c r="I9" i="3"/>
  <c r="I46" i="3" s="1"/>
  <c r="F9" i="3"/>
  <c r="F46" i="3" s="1"/>
  <c r="D53" i="3"/>
  <c r="H48" i="3"/>
  <c r="D40" i="3"/>
  <c r="E56" i="3"/>
  <c r="E43" i="3"/>
  <c r="D45" i="3"/>
  <c r="D56" i="3"/>
  <c r="E54" i="3"/>
  <c r="E41" i="3"/>
  <c r="H26" i="3"/>
  <c r="F26" i="3"/>
  <c r="F53" i="3" s="1"/>
  <c r="H14" i="3"/>
  <c r="F14" i="3"/>
  <c r="F40" i="3" s="1"/>
  <c r="H18" i="3"/>
  <c r="F18" i="3"/>
  <c r="F2" i="3"/>
  <c r="F20" i="3"/>
  <c r="F48" i="3" s="1"/>
  <c r="F5" i="3"/>
  <c r="F3" i="3"/>
  <c r="F4" i="3"/>
  <c r="F41" i="3" s="1"/>
  <c r="H22" i="3"/>
  <c r="H50" i="3" s="1"/>
  <c r="H30" i="3"/>
  <c r="H27" i="3"/>
  <c r="H25" i="3"/>
  <c r="H23" i="3"/>
  <c r="H51" i="3" s="1"/>
  <c r="H15" i="3"/>
  <c r="H29" i="3"/>
  <c r="H17" i="3"/>
  <c r="H28" i="3"/>
  <c r="H16" i="3"/>
  <c r="H24" i="3"/>
  <c r="D32" i="3"/>
  <c r="H21" i="3"/>
  <c r="H49" i="3" s="1"/>
  <c r="H31" i="3"/>
  <c r="H19" i="3"/>
  <c r="E13" i="3"/>
  <c r="H7" i="3"/>
  <c r="I7" i="3" s="1"/>
  <c r="H8" i="3"/>
  <c r="I8" i="3" s="1"/>
  <c r="H6" i="3"/>
  <c r="E10" i="3"/>
  <c r="D10" i="3"/>
  <c r="A7" i="2"/>
  <c r="A17" i="4" s="1"/>
  <c r="B17" i="4" s="1"/>
  <c r="A7" i="1"/>
  <c r="A24" i="1"/>
  <c r="B24" i="1" s="1"/>
  <c r="B25" i="2"/>
  <c r="B25" i="4"/>
  <c r="B30" i="1"/>
  <c r="B15" i="1"/>
  <c r="B4" i="1"/>
  <c r="B32" i="2"/>
  <c r="B34" i="2"/>
  <c r="B35" i="2"/>
  <c r="B31" i="2"/>
  <c r="B16" i="2"/>
  <c r="B4" i="2"/>
  <c r="A34" i="2"/>
  <c r="A35" i="2" s="1"/>
  <c r="A32" i="2"/>
  <c r="B33" i="2" s="1"/>
  <c r="A17" i="2"/>
  <c r="A18" i="2" s="1"/>
  <c r="A5" i="2"/>
  <c r="A11" i="2" s="1"/>
  <c r="B11" i="2" s="1"/>
  <c r="A5" i="1"/>
  <c r="B5" i="1" s="1"/>
  <c r="A16" i="1"/>
  <c r="A19" i="1" s="1"/>
  <c r="A33" i="1"/>
  <c r="A34" i="1" s="1"/>
  <c r="A31" i="1"/>
  <c r="B31" i="1" s="1"/>
  <c r="D59" i="3" l="1"/>
  <c r="I24" i="3"/>
  <c r="I52" i="3" s="1"/>
  <c r="H52" i="3"/>
  <c r="E48" i="3"/>
  <c r="I29" i="3"/>
  <c r="I56" i="3" s="1"/>
  <c r="H56" i="3"/>
  <c r="I17" i="3"/>
  <c r="I44" i="3" s="1"/>
  <c r="H44" i="3"/>
  <c r="I25" i="3"/>
  <c r="I45" i="3" s="1"/>
  <c r="H45" i="3"/>
  <c r="I28" i="3"/>
  <c r="I55" i="3" s="1"/>
  <c r="H55" i="3"/>
  <c r="I23" i="3"/>
  <c r="I51" i="3" s="1"/>
  <c r="I19" i="3"/>
  <c r="H43" i="3"/>
  <c r="I27" i="3"/>
  <c r="I54" i="3" s="1"/>
  <c r="H54" i="3"/>
  <c r="I15" i="3"/>
  <c r="I47" i="3" s="1"/>
  <c r="H47" i="3"/>
  <c r="I26" i="3"/>
  <c r="I53" i="3" s="1"/>
  <c r="H53" i="3"/>
  <c r="I21" i="3"/>
  <c r="I49" i="3" s="1"/>
  <c r="I22" i="3"/>
  <c r="I50" i="3" s="1"/>
  <c r="F42" i="3"/>
  <c r="I18" i="3"/>
  <c r="I42" i="3" s="1"/>
  <c r="H42" i="3"/>
  <c r="F13" i="3"/>
  <c r="F39" i="3" s="1"/>
  <c r="E39" i="3"/>
  <c r="E59" i="3" s="1"/>
  <c r="I31" i="3"/>
  <c r="I58" i="3" s="1"/>
  <c r="H58" i="3"/>
  <c r="D35" i="3"/>
  <c r="I16" i="3"/>
  <c r="I41" i="3" s="1"/>
  <c r="H41" i="3"/>
  <c r="I14" i="3"/>
  <c r="I40" i="3" s="1"/>
  <c r="H40" i="3"/>
  <c r="I30" i="3"/>
  <c r="I57" i="3" s="1"/>
  <c r="H57" i="3"/>
  <c r="F10" i="3"/>
  <c r="I6" i="3"/>
  <c r="I10" i="3" s="1"/>
  <c r="F32" i="3"/>
  <c r="F35" i="3" s="1"/>
  <c r="H13" i="3"/>
  <c r="E32" i="3"/>
  <c r="E35" i="3" s="1"/>
  <c r="H10" i="3"/>
  <c r="A14" i="4"/>
  <c r="B14" i="4" s="1"/>
  <c r="A13" i="4"/>
  <c r="B13" i="4" s="1"/>
  <c r="A17" i="1"/>
  <c r="B18" i="1" s="1"/>
  <c r="B16" i="1"/>
  <c r="B17" i="1"/>
  <c r="A6" i="1"/>
  <c r="B7" i="1" s="1"/>
  <c r="B32" i="1"/>
  <c r="B19" i="2"/>
  <c r="B18" i="2"/>
  <c r="B5" i="2"/>
  <c r="B17" i="2"/>
  <c r="A20" i="2"/>
  <c r="B19" i="1"/>
  <c r="A20" i="1"/>
  <c r="A37" i="1"/>
  <c r="A35" i="1"/>
  <c r="B34" i="1"/>
  <c r="A8" i="1"/>
  <c r="A10" i="1"/>
  <c r="B6" i="1"/>
  <c r="B33" i="1"/>
  <c r="A36" i="2"/>
  <c r="B36" i="2" s="1"/>
  <c r="A38" i="2"/>
  <c r="B38" i="2" s="1"/>
  <c r="A6" i="2"/>
  <c r="B6" i="2" s="1"/>
  <c r="A8" i="2"/>
  <c r="B8" i="2" s="1"/>
  <c r="I43" i="3" l="1"/>
  <c r="I13" i="3"/>
  <c r="I39" i="3" s="1"/>
  <c r="I59" i="3" s="1"/>
  <c r="H39" i="3"/>
  <c r="H59" i="3" s="1"/>
  <c r="F59" i="3"/>
  <c r="I32" i="3"/>
  <c r="I35" i="3" s="1"/>
  <c r="H32" i="3"/>
  <c r="H35" i="3" s="1"/>
  <c r="A15" i="4"/>
  <c r="B15" i="4" s="1"/>
  <c r="A10" i="4"/>
  <c r="A4" i="4"/>
  <c r="B4" i="4" s="1"/>
  <c r="A21" i="2"/>
  <c r="B20" i="2"/>
  <c r="B8" i="1"/>
  <c r="A9" i="1"/>
  <c r="A36" i="1"/>
  <c r="B36" i="1" s="1"/>
  <c r="B35" i="1"/>
  <c r="B10" i="1"/>
  <c r="A11" i="1"/>
  <c r="A38" i="1"/>
  <c r="B38" i="1" s="1"/>
  <c r="B37" i="1"/>
  <c r="B20" i="1"/>
  <c r="A39" i="2"/>
  <c r="B39" i="2" s="1"/>
  <c r="A37" i="2"/>
  <c r="B37" i="2" s="1"/>
  <c r="A10" i="2"/>
  <c r="B10" i="2" s="1"/>
  <c r="A9" i="2"/>
  <c r="B9" i="2" s="1"/>
  <c r="B7" i="2"/>
  <c r="A16" i="4" l="1"/>
  <c r="A22" i="4"/>
  <c r="A11" i="4"/>
  <c r="A23" i="4"/>
  <c r="B21" i="2"/>
  <c r="A22" i="2"/>
  <c r="B23" i="1"/>
  <c r="B25" i="1"/>
  <c r="B21" i="1"/>
  <c r="A22" i="1"/>
  <c r="B11" i="1"/>
  <c r="B9" i="1"/>
  <c r="A12" i="2"/>
  <c r="A5" i="4"/>
  <c r="B5" i="4" s="1"/>
  <c r="B6" i="4" s="1"/>
  <c r="B12" i="2" l="1"/>
  <c r="A20" i="4"/>
  <c r="B16" i="4"/>
  <c r="A18" i="4"/>
  <c r="B18" i="4" s="1"/>
  <c r="B19" i="4"/>
  <c r="B22" i="4"/>
  <c r="B24" i="2"/>
  <c r="B26" i="2"/>
  <c r="B22" i="2"/>
  <c r="A23" i="2"/>
  <c r="A7" i="4"/>
  <c r="B7" i="4" s="1"/>
  <c r="B22" i="1"/>
  <c r="B10" i="4"/>
  <c r="A6" i="4"/>
  <c r="B20" i="4"/>
  <c r="A26" i="4" l="1"/>
  <c r="B26" i="4" s="1"/>
  <c r="B23" i="2"/>
  <c r="A8" i="4"/>
  <c r="A21" i="4"/>
  <c r="B21" i="4" s="1"/>
  <c r="A27" i="4"/>
  <c r="B27" i="4" s="1"/>
  <c r="B11" i="4" l="1"/>
  <c r="A12" i="4"/>
  <c r="B12" i="4" s="1"/>
  <c r="B23" i="4"/>
  <c r="A24" i="4"/>
  <c r="B24" i="4" s="1"/>
  <c r="B8" i="4"/>
  <c r="B9" i="4" s="1"/>
  <c r="A9" i="4"/>
</calcChain>
</file>

<file path=xl/sharedStrings.xml><?xml version="1.0" encoding="utf-8"?>
<sst xmlns="http://schemas.openxmlformats.org/spreadsheetml/2006/main" count="1174" uniqueCount="210">
  <si>
    <t>osnovica za obračun</t>
  </si>
  <si>
    <t>ukupno iz budžeta za finansiranje kampanje</t>
  </si>
  <si>
    <t>za raspodelu na jednake delove</t>
  </si>
  <si>
    <t>po jednom osvojenom mandatu</t>
  </si>
  <si>
    <t>RSD</t>
  </si>
  <si>
    <t>EUR</t>
  </si>
  <si>
    <t>Legenda</t>
  </si>
  <si>
    <t>Finansiranje predsedničke izborne kampanje 2022. iz budžeta</t>
  </si>
  <si>
    <t>Finansiranje parlamentarne izborne kampanje 2022. iz budžeta</t>
  </si>
  <si>
    <t>za svakog predlagača kandidata koji uđe u drugi krug</t>
  </si>
  <si>
    <t>za predlagača kandidata koji pobedi u prvom krugu</t>
  </si>
  <si>
    <t>za liste koje pređu cenzus ukupno</t>
  </si>
  <si>
    <t>ukupno nakon izbora za listu koja osvoji 50% mandata</t>
  </si>
  <si>
    <t>Finansiranje kampanje za beogradske izbore</t>
  </si>
  <si>
    <t>ukupno nakon izbora za listu koja pređe cenzus (3 odbornika)</t>
  </si>
  <si>
    <t>po jednom osvojenom mandatu (110 odbornika)</t>
  </si>
  <si>
    <t>nakon izbora za listu koja pređe cenzus (8 poslanika)</t>
  </si>
  <si>
    <t>lista koja osvoji 50% mandata pre i posle izbora ukupno</t>
  </si>
  <si>
    <t>lista koja pređe cenzus ukupno pre i posle izbora ukupno</t>
  </si>
  <si>
    <t>predlagač koji uđe u drugi krug (pre i posle izbora ukupno)</t>
  </si>
  <si>
    <t>predlagač koji pobedi u prvom krugu (pre i posle izbora ukupno)</t>
  </si>
  <si>
    <t>lista koja pređe cenzus pre i posle izbora ukupno</t>
  </si>
  <si>
    <t>ukupno iz budžeta za finansiranje kampanje (nacrt budžeta)</t>
  </si>
  <si>
    <t>ukupno za predlagače iz drugog kruga</t>
  </si>
  <si>
    <t>dodatak predlagaču koji u drugom krugu osvoji 30% glasova</t>
  </si>
  <si>
    <t>dodatak predlagaču koji u drugom krugu osvoji 70% glasova</t>
  </si>
  <si>
    <t>dodatak predlagaču kandidata koji pobedi u prvom krugu</t>
  </si>
  <si>
    <t>Razlika</t>
  </si>
  <si>
    <t>Projekcija smanjenja budžetskih rashoda se odnosi na situaciju da jedna stranka, koalicija ili grupa građana pobedi u prvom krugu predsedničkih izbora, osvoji 50% mandata narodnih poslanika i da koristi isključivo budžet za finansiranje kampanje. U slučaju korišćenja privatnih sredstava ili osvajanja većeg broja mandata, razlika se povećava.</t>
  </si>
  <si>
    <t xml:space="preserve">projekcija: 50% mandata i pobeda u prvom krugu predsedničkih - novi ZFPA </t>
  </si>
  <si>
    <t>projekcija: 50% mandata i pobeda u drugom krugu predsedničkih sa 70% glasova- novi  ZFPA</t>
  </si>
  <si>
    <t>Sredstva za finansiranje kampanje za parlamentarne izbore će biti izdvojena iz budžetske rezerve.</t>
  </si>
  <si>
    <t>Projekcija po jednoj izbornoj listi/predlagaču kandidata na osnovu broja učesnika prethodnih izbora</t>
  </si>
  <si>
    <t>lista koja osvoji 30 mandata ukupno pre i posle izbora</t>
  </si>
  <si>
    <t xml:space="preserve">ukupno iz budžeta za finansiranje kampanje </t>
  </si>
  <si>
    <t>Izvor: Zakon o budžetu Republike Srbije za 2022. Za beogradske izbore Odluka o budžetu za 2022, proračun TS na osnovu novog Zakona o finansiranju političkih aktivnosti.</t>
  </si>
  <si>
    <t xml:space="preserve">Iznosi u evrima su prikazani prema srednjem kursu NBS na dan 11.03.2022. </t>
  </si>
  <si>
    <t>maksimalni trošak kampanje za parlamentarne i predsedničke izbore - da je prihvaćen predlog TS</t>
  </si>
  <si>
    <t xml:space="preserve">projekcija: 50% mandata i pobeda u prvom krugu predsedničkih - stari ZFPA </t>
  </si>
  <si>
    <t>projekcija: 50% mandata i pobeda u drugom krugu predsedničkih sa 70% glasova- stari ZFPA</t>
  </si>
  <si>
    <t>projekcija: stranka koja osvoji 1% do 3% glasova a kandiduje predsednika - stari ZFPA</t>
  </si>
  <si>
    <t>projekcija: stranka koja osvoji 1% do 3% glasova a kandiduje predsednika - novi ZFPA</t>
  </si>
  <si>
    <t>Finansiranje predsedničke i parlamentarne izborne kampanje 2022. iz budžeta -  projekcije</t>
  </si>
  <si>
    <t>projekcija: tačno 3% glasova na parlamentarnim i više od 1% na predsedničkim - stari ZFPA</t>
  </si>
  <si>
    <t>projekcija: tačno 3% glasova na parlamentarnim i više od 1% na predsedničkim - novi ZFPA</t>
  </si>
  <si>
    <t>projekcija: stranka osvoji 30 mandata, a predsednički kandidat ne uđe u drugi krug- stari ZFPA</t>
  </si>
  <si>
    <t>projekcija: stranka osvoji 30 mandata, a predsednički kandidat ne uđe u drugi krug- novi ZFPA</t>
  </si>
  <si>
    <t>Novi Zakon o finansiranju političkih aktivnosti</t>
  </si>
  <si>
    <t>lista koja osvoji 125 mandata pre i posle izbora ukupno</t>
  </si>
  <si>
    <t>lista koja osvoji 75 mandata ukuprno pre i posle izbora</t>
  </si>
  <si>
    <t>lista koja osvoji 75 mandata ukupno pre i posle izbora</t>
  </si>
  <si>
    <t>projekcija: stranka osvoji 75 mandata, a predsednički ne uđe u drugi krug - stari ZFPA</t>
  </si>
  <si>
    <t>projekcija: 75 mandata, predsednički kandidat osvoji 30% glasova u II krugu- stari ZFPA</t>
  </si>
  <si>
    <t>projekcija: 75 mandata, predsednički kandidat osvoji 30% glasova u II krugu- novi ZFPA</t>
  </si>
  <si>
    <t>Stari Zakon o Finansiranju političkih aktivnosti</t>
  </si>
  <si>
    <r>
      <t xml:space="preserve">Posledice izmena Zakona o </t>
    </r>
    <r>
      <rPr>
        <sz val="11"/>
        <color theme="1"/>
        <rFont val="Calibri"/>
        <family val="2"/>
        <scheme val="minor"/>
      </rPr>
      <t>finansiranju političkih aktivnosti</t>
    </r>
  </si>
  <si>
    <t>projekcija smanjenja budžetskih troškova da je uvedeno ograničenje po predlogu TS- stari ZFPA</t>
  </si>
  <si>
    <t>projekcija smanjenja budžetskih troškova da je uvedeno ograničenje po predlogu TS -novi ZFPA</t>
  </si>
  <si>
    <t>po predlagaču kandidata (projekcija na 8 kandidata)</t>
  </si>
  <si>
    <t>po podnosiocu izborne liste (procena na 18 proglašenih lista)</t>
  </si>
  <si>
    <r>
      <t>Projekcija po jednoj izbornoj listi/predlagaču kandidata je data</t>
    </r>
    <r>
      <rPr>
        <b/>
        <sz val="11"/>
        <color theme="1"/>
        <rFont val="Calibri"/>
        <family val="2"/>
        <scheme val="minor"/>
      </rPr>
      <t xml:space="preserve"> na osnovu broja </t>
    </r>
    <r>
      <rPr>
        <sz val="11"/>
        <color theme="1"/>
        <rFont val="Calibri"/>
        <family val="2"/>
        <scheme val="minor"/>
      </rPr>
      <t>proglašenih izbornih lista (18) i proglašenih predsedničkih kandidata (8)</t>
    </r>
    <r>
      <rPr>
        <b/>
        <sz val="11"/>
        <color theme="1"/>
        <rFont val="Calibri"/>
        <family val="2"/>
        <scheme val="minor"/>
      </rPr>
      <t xml:space="preserve">. </t>
    </r>
  </si>
  <si>
    <t>po podnosiocu izborne liste (procena na 12 izbornih lista)</t>
  </si>
  <si>
    <t>predlagač kandidata</t>
  </si>
  <si>
    <t>SNS</t>
  </si>
  <si>
    <t>UPS</t>
  </si>
  <si>
    <t>Moramo</t>
  </si>
  <si>
    <t>Dveri</t>
  </si>
  <si>
    <t>Zavetnici</t>
  </si>
  <si>
    <t>Suverenisti</t>
  </si>
  <si>
    <t>Vacić</t>
  </si>
  <si>
    <t>prvi deo budžet</t>
  </si>
  <si>
    <t>uspeh budžet</t>
  </si>
  <si>
    <t>prijavljeni ostalo</t>
  </si>
  <si>
    <t>ukupno budžet RSD</t>
  </si>
  <si>
    <t>ukupno budžet EUR</t>
  </si>
  <si>
    <t>ukupna sredstva RSD</t>
  </si>
  <si>
    <t>ukupna sredstva EUR</t>
  </si>
  <si>
    <t>Zbir</t>
  </si>
  <si>
    <t>Napomena</t>
  </si>
  <si>
    <t>podnosilac liste</t>
  </si>
  <si>
    <t xml:space="preserve">SNS </t>
  </si>
  <si>
    <t>glasova</t>
  </si>
  <si>
    <t>mandati</t>
  </si>
  <si>
    <t>SPS</t>
  </si>
  <si>
    <t>NADA</t>
  </si>
  <si>
    <t>SVM</t>
  </si>
  <si>
    <t>ZZV</t>
  </si>
  <si>
    <t>SDA</t>
  </si>
  <si>
    <t>KAD</t>
  </si>
  <si>
    <t>SRS</t>
  </si>
  <si>
    <t>Ajmo ljudi</t>
  </si>
  <si>
    <t>Otete bebe</t>
  </si>
  <si>
    <t>AZP</t>
  </si>
  <si>
    <t>Romska</t>
  </si>
  <si>
    <t>Ruski savez</t>
  </si>
  <si>
    <t>SPP</t>
  </si>
  <si>
    <t>dali izjavu da neće koristiti javna sredstva</t>
  </si>
  <si>
    <t>nije podnet preliminarni izveštaj</t>
  </si>
  <si>
    <t>nisu prikazani prihodi u preliminarnom izvšetaju</t>
  </si>
  <si>
    <t>nisu prikazani prihodi u preliminarnom izveštaju</t>
  </si>
  <si>
    <t>zbir</t>
  </si>
  <si>
    <t>Ukupno republički izbori</t>
  </si>
  <si>
    <t>Lista</t>
  </si>
  <si>
    <t>Ukupna sredstva za republičke izbore</t>
  </si>
  <si>
    <t>prijavljeni ostali prihodi na osnovu preliminarnog izveštaja</t>
  </si>
  <si>
    <t>nema pravo na budžetska sredstva (manje od 1% glasova), nema preliminarnog izveštaja</t>
  </si>
  <si>
    <t>nema pravo na budžetska sredstva (manje od 0,2% glasova), nema preliminarnog izveštaja</t>
  </si>
  <si>
    <t>nema preliminarnog izveštaja</t>
  </si>
  <si>
    <t>Kakva bi bila raspodela po starom zakonu</t>
  </si>
  <si>
    <t>Aleksandar Vučić – Zajedno možemo sve</t>
  </si>
  <si>
    <t>Ivica Dačić – Premijer Srbije</t>
  </si>
  <si>
    <t>Savez vojvodjanskih Mađara – Ištvan Pastor</t>
  </si>
  <si>
    <t>SDA Sandžaka – Dr Sulejman Ugljanin</t>
  </si>
  <si>
    <t>Koalicija Albanaca doline</t>
  </si>
  <si>
    <t>ukupno iz budžeta za parlamentarne liste</t>
  </si>
  <si>
    <t>procenat osvojenih glasova</t>
  </si>
  <si>
    <t>Broj osvojenih glasova</t>
  </si>
  <si>
    <t>RSD po obračunskom glasu</t>
  </si>
  <si>
    <t>godišnje iz budžeta</t>
  </si>
  <si>
    <t>za sve 4 godine</t>
  </si>
  <si>
    <t>EUR četiri godine</t>
  </si>
  <si>
    <t>mesečno iz budžeta RSD</t>
  </si>
  <si>
    <t>ukupan broj obračunskih glasova</t>
  </si>
  <si>
    <t>novca godišnje po jednom obračunskom glasu</t>
  </si>
  <si>
    <t>Ukupno važećih glasova</t>
  </si>
  <si>
    <t>3% osvojenih glasova</t>
  </si>
  <si>
    <t>obračunska vrednost glasova do 3%</t>
  </si>
  <si>
    <t>broj osvojenih glasova preko 3%</t>
  </si>
  <si>
    <t>obračunski glasovi ukupno</t>
  </si>
  <si>
    <t>Finansiranje parlamentarnih stranaka u 2022 iz budžeta Srbije</t>
  </si>
  <si>
    <t xml:space="preserve">Ukupno  </t>
  </si>
  <si>
    <t>SPAS</t>
  </si>
  <si>
    <r>
      <rPr>
        <sz val="12"/>
        <color rgb="FF403E3E"/>
        <rFont val="Segoe UI"/>
        <family val="2"/>
      </rPr>
      <t>Академик Муамер Зукорлић – Само право – Странка</t>
    </r>
    <r>
      <rPr>
        <sz val="14"/>
        <color rgb="FF403E3E"/>
        <rFont val="Segoe UI"/>
        <family val="2"/>
      </rPr>
      <t xml:space="preserve"> </t>
    </r>
    <r>
      <rPr>
        <sz val="10"/>
        <color rgb="FF403E3E"/>
        <rFont val="Segoe UI"/>
        <family val="2"/>
      </rPr>
      <t>правде и помирења (СПП) – Демократска партија Македонаца (ДПМ) / Akademik Muamer Zukorlić – Samo pravo – Stranka pravde i pomirenja (SPP) – Demokratska partija Makedonaca (DPM) / Академик Муамер Зукорлић – Само право – Странка на правда и помиреније (СПП) – Демократска партија на Македонците (ДПМ)</t>
    </r>
  </si>
  <si>
    <t xml:space="preserve">ispod cenzusa </t>
  </si>
  <si>
    <t>Ruska</t>
  </si>
  <si>
    <t>Nek maske padnu</t>
  </si>
  <si>
    <t>Narodni blok</t>
  </si>
  <si>
    <t>Čeda Jovanović</t>
  </si>
  <si>
    <t>1 od 5 miliona</t>
  </si>
  <si>
    <t>UDS</t>
  </si>
  <si>
    <t>Levijatan</t>
  </si>
  <si>
    <t>Stamatović</t>
  </si>
  <si>
    <t>PSG</t>
  </si>
  <si>
    <t>Metla</t>
  </si>
  <si>
    <t>Za kraljevinu</t>
  </si>
  <si>
    <t>Broj važećih glasova do 3 %</t>
  </si>
  <si>
    <t>Broj važećih glasova do5 %</t>
  </si>
  <si>
    <t>5% osvojenih glasova</t>
  </si>
  <si>
    <t>obračunska vrednost glasova do 5%</t>
  </si>
  <si>
    <t>broj osvojenih glasova preko 5%</t>
  </si>
  <si>
    <t>provera</t>
  </si>
  <si>
    <t>JS</t>
  </si>
  <si>
    <t>Muftija</t>
  </si>
  <si>
    <t>SDPS</t>
  </si>
  <si>
    <t>PUPS</t>
  </si>
  <si>
    <t>PDD (alb)</t>
  </si>
  <si>
    <t>Marinika Tepić – Ujedinjeni za pobedu Srbije (Stranka slobode i pravde, Narodna stranka, Demokratska stranka DUVM – VMDK, Stranka Makedonaca Srbije, Pokret slobodnih građana, Udruženi sindikati Srbije „Sloga“, Pokret za preokret, Pokret Slobodna Srbija, Vlaška stranka)</t>
  </si>
  <si>
    <t>Dr Miloš Jovanović – Nada za Srbiju – Srpska koalicija Nada – Nacionalno demokratska alternativa – Demokratska stranka Srbije (DSS) – Za Kraljevinu Srbiju (Monarhisti) – Vojislav Mihailović</t>
  </si>
  <si>
    <t>Milica Đurđević Stamenkovski – Srpska stranka Zavetnici</t>
  </si>
  <si>
    <t>Muftijin amanet – Stranka pravde i pomirenja – Usame Zukorlić</t>
  </si>
  <si>
    <t>Moramo – Akcija – Ekološki ustanak – Ćuta – Ne davimo Beograd – Nebojša Zelenović</t>
  </si>
  <si>
    <t>Boško Obradović – Srpski pokret Dveri – POKS – Miloš Parandilović – Patriotski blok za obnovu Kraljevine Srbije</t>
  </si>
  <si>
    <t>Zajedno za Vojvodinu – Vojvođani (Demokratski savez Hrvata u Vojvodini, Zajedno za Vojvodinu)</t>
  </si>
  <si>
    <t>DVERI - POKS</t>
  </si>
  <si>
    <t>SPS - JS</t>
  </si>
  <si>
    <t>godišnje iz budžeta Srbije RSD</t>
  </si>
  <si>
    <t>Srpska radikalna stranka</t>
  </si>
  <si>
    <t>SDS - Nova</t>
  </si>
  <si>
    <t>Alternativa za promene</t>
  </si>
  <si>
    <t>Romska partija</t>
  </si>
  <si>
    <t>Ruski manjinski savez</t>
  </si>
  <si>
    <t>Broj važećih glasova do 3%</t>
  </si>
  <si>
    <t>Prijavljeni prihodi u finansijskim izveštajima za 2021</t>
  </si>
  <si>
    <t xml:space="preserve">Razlika između prijavljenih prihoda i obračuna </t>
  </si>
  <si>
    <t>koeficijent razlike</t>
  </si>
  <si>
    <t>Zakon -  10.12.2020.</t>
  </si>
  <si>
    <t>Prve izmene - 22.04.2021.</t>
  </si>
  <si>
    <t>Druge izmene - 26.10.2021</t>
  </si>
  <si>
    <t>uk, poreski prihodi</t>
  </si>
  <si>
    <t>1.154.600.000.000</t>
  </si>
  <si>
    <t>1.168.300.000.000</t>
  </si>
  <si>
    <t>1.279.300.000.000</t>
  </si>
  <si>
    <t>ук приходи и примања</t>
  </si>
  <si>
    <t>1.336.323.614.00</t>
  </si>
  <si>
    <t>1.356.238.084.000</t>
  </si>
  <si>
    <t>1.488.452.656.000</t>
  </si>
  <si>
    <t>finansiranje javnog rada pol subjekata</t>
  </si>
  <si>
    <t>1.212.330.000</t>
  </si>
  <si>
    <t>1.226.715.000</t>
  </si>
  <si>
    <t>osnovica za obračun prvi rebalans</t>
  </si>
  <si>
    <t>Finansiranje parlamentarnih stranaka u 2020 iz budžeta Srbije</t>
  </si>
  <si>
    <t>11 meseci 2021 i 1 mesec 2020</t>
  </si>
  <si>
    <t>razlika prijavljenog i obračuna dec 20/nov21</t>
  </si>
  <si>
    <t>osnovica za obračun drugi rebalans</t>
  </si>
  <si>
    <t>zaista opredeljeno</t>
  </si>
  <si>
    <t>razlika</t>
  </si>
  <si>
    <t>ispravno opredeljeno</t>
  </si>
  <si>
    <t>osnovica za obračun originalni budžet</t>
  </si>
  <si>
    <t>11 meseci 2021 kombinovano i 1 mesec 2020</t>
  </si>
  <si>
    <t>PDP (alb)</t>
  </si>
  <si>
    <t>DP (alb)</t>
  </si>
  <si>
    <t>Finansiranje parlamentarnih stranaka u 2021 iz budžeta Srbije</t>
  </si>
  <si>
    <t>osnovica za obračun poslednji rebalans</t>
  </si>
  <si>
    <t>ukupno iz budžeta za parlamentarne liste saziv iz 2020</t>
  </si>
  <si>
    <t>12 meseci 2021 kombinovano i 1 mesec 2020</t>
  </si>
  <si>
    <t>% vаžećih glasova</t>
  </si>
  <si>
    <t>Broj  glasova</t>
  </si>
  <si>
    <t>za 4 godine RSD</t>
  </si>
  <si>
    <t>za četiri godine EUR</t>
  </si>
  <si>
    <r>
      <t xml:space="preserve">Izvor: </t>
    </r>
    <r>
      <rPr>
        <sz val="10"/>
        <color rgb="FF403E3E"/>
        <rFont val="Segoe UI"/>
        <family val="2"/>
      </rPr>
      <t>Transparentnost Srbija, na osnovu podataka o konačnim rezultatima izbora (RIK), Zakonu o budžetu Republike Srbije i parametrima za izračunavanje budžetskih dotacija iz Zakona o finansiranju političkih aktivnosti. Unutar koalicija, novac se raspodeljuje na osnovu koalicionog sporazuma. Isplate vrši Ministarstvo finansija do 10. u mesecu za prethodni mesec.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</si>
</sst>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rgb="FF403E3E"/>
      <name val="Segoe UI"/>
      <family val="2"/>
    </font>
    <font>
      <sz val="11"/>
      <color theme="1"/>
      <name val="Segoe UI"/>
      <family val="2"/>
    </font>
    <font>
      <b/>
      <sz val="14"/>
      <color rgb="FF403E3E"/>
      <name val="Segoe UI"/>
      <family val="2"/>
    </font>
    <font>
      <b/>
      <sz val="11"/>
      <color theme="1"/>
      <name val="Segoe UI"/>
      <family val="2"/>
    </font>
    <font>
      <sz val="10"/>
      <color rgb="FF403E3E"/>
      <name val="Segoe UI"/>
      <family val="2"/>
    </font>
    <font>
      <sz val="12"/>
      <color rgb="FF403E3E"/>
      <name val="Segoe UI"/>
      <family val="2"/>
    </font>
    <font>
      <b/>
      <sz val="14"/>
      <color rgb="FFFF0000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403E3E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333333"/>
      <name val="Verdana"/>
      <family val="2"/>
    </font>
    <font>
      <sz val="11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7" xfId="0" applyNumberFormat="1" applyFill="1" applyBorder="1"/>
    <xf numFmtId="4" fontId="0" fillId="0" borderId="8" xfId="0" applyNumberFormat="1" applyFill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Fill="1" applyBorder="1"/>
    <xf numFmtId="4" fontId="0" fillId="0" borderId="17" xfId="0" applyNumberFormat="1" applyBorder="1"/>
    <xf numFmtId="4" fontId="0" fillId="0" borderId="19" xfId="0" applyNumberFormat="1" applyBorder="1"/>
    <xf numFmtId="4" fontId="0" fillId="0" borderId="1" xfId="0" applyNumberFormat="1" applyFont="1" applyBorder="1" applyAlignment="1">
      <alignment horizontal="left"/>
    </xf>
    <xf numFmtId="4" fontId="0" fillId="0" borderId="6" xfId="0" applyNumberFormat="1" applyFont="1" applyBorder="1" applyAlignment="1">
      <alignment horizontal="left"/>
    </xf>
    <xf numFmtId="4" fontId="1" fillId="0" borderId="7" xfId="0" applyNumberFormat="1" applyFont="1" applyBorder="1" applyAlignment="1">
      <alignment horizontal="center"/>
    </xf>
    <xf numFmtId="4" fontId="1" fillId="0" borderId="6" xfId="0" applyNumberFormat="1" applyFont="1" applyBorder="1"/>
    <xf numFmtId="4" fontId="1" fillId="0" borderId="1" xfId="0" applyNumberFormat="1" applyFont="1" applyBorder="1"/>
    <xf numFmtId="4" fontId="1" fillId="0" borderId="7" xfId="0" applyNumberFormat="1" applyFont="1" applyBorder="1"/>
    <xf numFmtId="4" fontId="1" fillId="0" borderId="6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0" fillId="2" borderId="6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4" fontId="0" fillId="3" borderId="6" xfId="0" applyNumberFormat="1" applyFill="1" applyBorder="1"/>
    <xf numFmtId="4" fontId="0" fillId="3" borderId="1" xfId="0" applyNumberFormat="1" applyFill="1" applyBorder="1"/>
    <xf numFmtId="4" fontId="0" fillId="3" borderId="7" xfId="0" applyNumberFormat="1" applyFill="1" applyBorder="1"/>
    <xf numFmtId="4" fontId="0" fillId="4" borderId="6" xfId="0" applyNumberFormat="1" applyFill="1" applyBorder="1"/>
    <xf numFmtId="4" fontId="0" fillId="4" borderId="1" xfId="0" applyNumberFormat="1" applyFill="1" applyBorder="1"/>
    <xf numFmtId="4" fontId="0" fillId="4" borderId="7" xfId="0" applyNumberFormat="1" applyFill="1" applyBorder="1"/>
    <xf numFmtId="4" fontId="1" fillId="2" borderId="6" xfId="0" applyNumberFormat="1" applyFont="1" applyFill="1" applyBorder="1"/>
    <xf numFmtId="4" fontId="1" fillId="2" borderId="7" xfId="0" applyNumberFormat="1" applyFont="1" applyFill="1" applyBorder="1"/>
    <xf numFmtId="4" fontId="1" fillId="3" borderId="7" xfId="0" applyNumberFormat="1" applyFont="1" applyFill="1" applyBorder="1"/>
    <xf numFmtId="4" fontId="1" fillId="3" borderId="6" xfId="0" applyNumberFormat="1" applyFont="1" applyFill="1" applyBorder="1"/>
    <xf numFmtId="4" fontId="1" fillId="4" borderId="19" xfId="0" applyNumberFormat="1" applyFont="1" applyFill="1" applyBorder="1"/>
    <xf numFmtId="4" fontId="0" fillId="5" borderId="17" xfId="0" applyNumberFormat="1" applyFill="1" applyBorder="1"/>
    <xf numFmtId="4" fontId="0" fillId="5" borderId="19" xfId="0" applyNumberFormat="1" applyFill="1" applyBorder="1"/>
    <xf numFmtId="4" fontId="0" fillId="5" borderId="9" xfId="0" applyNumberFormat="1" applyFill="1" applyBorder="1"/>
    <xf numFmtId="4" fontId="0" fillId="6" borderId="17" xfId="0" applyNumberFormat="1" applyFill="1" applyBorder="1"/>
    <xf numFmtId="4" fontId="1" fillId="6" borderId="19" xfId="0" applyNumberFormat="1" applyFont="1" applyFill="1" applyBorder="1"/>
    <xf numFmtId="4" fontId="0" fillId="6" borderId="19" xfId="0" applyNumberFormat="1" applyFont="1" applyFill="1" applyBorder="1"/>
    <xf numFmtId="4" fontId="1" fillId="6" borderId="17" xfId="0" applyNumberFormat="1" applyFont="1" applyFill="1" applyBorder="1"/>
    <xf numFmtId="4" fontId="0" fillId="0" borderId="28" xfId="0" applyNumberFormat="1" applyBorder="1"/>
    <xf numFmtId="4" fontId="0" fillId="0" borderId="0" xfId="0" applyNumberFormat="1" applyFill="1" applyBorder="1"/>
    <xf numFmtId="4" fontId="1" fillId="4" borderId="17" xfId="0" applyNumberFormat="1" applyFont="1" applyFill="1" applyBorder="1"/>
    <xf numFmtId="4" fontId="1" fillId="4" borderId="1" xfId="0" applyNumberFormat="1" applyFont="1" applyFill="1" applyBorder="1"/>
    <xf numFmtId="4" fontId="0" fillId="7" borderId="6" xfId="0" applyNumberFormat="1" applyFont="1" applyFill="1" applyBorder="1"/>
    <xf numFmtId="4" fontId="0" fillId="7" borderId="26" xfId="0" applyNumberFormat="1" applyFont="1" applyFill="1" applyBorder="1"/>
    <xf numFmtId="4" fontId="0" fillId="7" borderId="7" xfId="0" applyNumberFormat="1" applyFont="1" applyFill="1" applyBorder="1"/>
    <xf numFmtId="4" fontId="1" fillId="7" borderId="6" xfId="0" applyNumberFormat="1" applyFont="1" applyFill="1" applyBorder="1"/>
    <xf numFmtId="4" fontId="1" fillId="7" borderId="26" xfId="0" applyNumberFormat="1" applyFont="1" applyFill="1" applyBorder="1"/>
    <xf numFmtId="4" fontId="1" fillId="7" borderId="7" xfId="0" applyNumberFormat="1" applyFont="1" applyFill="1" applyBorder="1"/>
    <xf numFmtId="4" fontId="1" fillId="5" borderId="6" xfId="0" applyNumberFormat="1" applyFont="1" applyFill="1" applyBorder="1"/>
    <xf numFmtId="4" fontId="1" fillId="5" borderId="26" xfId="0" applyNumberFormat="1" applyFont="1" applyFill="1" applyBorder="1"/>
    <xf numFmtId="4" fontId="1" fillId="5" borderId="7" xfId="0" applyNumberFormat="1" applyFont="1" applyFill="1" applyBorder="1"/>
    <xf numFmtId="4" fontId="1" fillId="8" borderId="6" xfId="0" applyNumberFormat="1" applyFont="1" applyFill="1" applyBorder="1"/>
    <xf numFmtId="4" fontId="1" fillId="8" borderId="26" xfId="0" applyNumberFormat="1" applyFont="1" applyFill="1" applyBorder="1"/>
    <xf numFmtId="4" fontId="1" fillId="8" borderId="7" xfId="0" applyNumberFormat="1" applyFont="1" applyFill="1" applyBorder="1"/>
    <xf numFmtId="4" fontId="0" fillId="0" borderId="29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4" fontId="0" fillId="8" borderId="6" xfId="0" applyNumberFormat="1" applyFont="1" applyFill="1" applyBorder="1"/>
    <xf numFmtId="4" fontId="0" fillId="8" borderId="7" xfId="0" applyNumberFormat="1" applyFont="1" applyFill="1" applyBorder="1"/>
    <xf numFmtId="4" fontId="0" fillId="8" borderId="26" xfId="0" applyNumberFormat="1" applyFont="1" applyFill="1" applyBorder="1"/>
    <xf numFmtId="4" fontId="0" fillId="5" borderId="6" xfId="0" applyNumberFormat="1" applyFont="1" applyFill="1" applyBorder="1"/>
    <xf numFmtId="4" fontId="0" fillId="5" borderId="26" xfId="0" applyNumberFormat="1" applyFont="1" applyFill="1" applyBorder="1"/>
    <xf numFmtId="4" fontId="0" fillId="5" borderId="7" xfId="0" applyNumberFormat="1" applyFont="1" applyFill="1" applyBorder="1"/>
    <xf numFmtId="3" fontId="0" fillId="0" borderId="1" xfId="0" applyNumberFormat="1" applyBorder="1" applyAlignment="1">
      <alignment wrapText="1"/>
    </xf>
    <xf numFmtId="3" fontId="0" fillId="0" borderId="32" xfId="0" applyNumberFormat="1" applyFill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Fill="1" applyBorder="1" applyAlignment="1">
      <alignment wrapText="1"/>
    </xf>
    <xf numFmtId="3" fontId="0" fillId="9" borderId="1" xfId="0" applyNumberFormat="1" applyFill="1" applyBorder="1" applyAlignment="1">
      <alignment wrapText="1"/>
    </xf>
    <xf numFmtId="3" fontId="0" fillId="9" borderId="33" xfId="0" applyNumberFormat="1" applyFont="1" applyFill="1" applyBorder="1" applyAlignment="1">
      <alignment vertical="center"/>
    </xf>
    <xf numFmtId="3" fontId="0" fillId="9" borderId="4" xfId="0" applyNumberFormat="1" applyFont="1" applyFill="1" applyBorder="1"/>
    <xf numFmtId="3" fontId="0" fillId="9" borderId="4" xfId="0" applyNumberFormat="1" applyFont="1" applyFill="1" applyBorder="1" applyAlignment="1">
      <alignment horizontal="right" vertical="center"/>
    </xf>
    <xf numFmtId="3" fontId="0" fillId="9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Border="1"/>
    <xf numFmtId="3" fontId="0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3" fillId="9" borderId="1" xfId="0" applyNumberFormat="1" applyFont="1" applyFill="1" applyBorder="1" applyAlignment="1">
      <alignment horizontal="right" vertical="center" wrapText="1"/>
    </xf>
    <xf numFmtId="3" fontId="0" fillId="9" borderId="1" xfId="0" applyNumberFormat="1" applyFont="1" applyFill="1" applyBorder="1" applyAlignment="1">
      <alignment horizontal="right" vertical="center" wrapText="1"/>
    </xf>
    <xf numFmtId="3" fontId="0" fillId="9" borderId="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0" xfId="0" applyNumberFormat="1" applyAlignment="1">
      <alignment wrapText="1"/>
    </xf>
    <xf numFmtId="3" fontId="0" fillId="0" borderId="0" xfId="0" applyNumberFormat="1"/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/>
    <xf numFmtId="4" fontId="0" fillId="2" borderId="0" xfId="0" applyNumberFormat="1" applyFill="1"/>
    <xf numFmtId="4" fontId="0" fillId="2" borderId="0" xfId="0" applyNumberFormat="1" applyFill="1" applyAlignment="1"/>
    <xf numFmtId="4" fontId="1" fillId="3" borderId="1" xfId="0" applyNumberFormat="1" applyFont="1" applyFill="1" applyBorder="1"/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3" fontId="7" fillId="0" borderId="0" xfId="0" applyNumberFormat="1" applyFont="1"/>
    <xf numFmtId="3" fontId="4" fillId="0" borderId="0" xfId="0" applyNumberFormat="1" applyFont="1" applyAlignment="1">
      <alignment horizontal="center" wrapText="1"/>
    </xf>
    <xf numFmtId="3" fontId="4" fillId="5" borderId="1" xfId="0" applyNumberFormat="1" applyFont="1" applyFill="1" applyBorder="1" applyAlignment="1">
      <alignment horizontal="center" wrapText="1"/>
    </xf>
    <xf numFmtId="10" fontId="4" fillId="5" borderId="1" xfId="0" applyNumberFormat="1" applyFont="1" applyFill="1" applyBorder="1" applyAlignment="1">
      <alignment horizontal="center" wrapText="1"/>
    </xf>
    <xf numFmtId="10" fontId="5" fillId="0" borderId="0" xfId="0" applyNumberFormat="1" applyFont="1"/>
    <xf numFmtId="0" fontId="6" fillId="0" borderId="0" xfId="0" applyFont="1" applyBorder="1" applyAlignment="1">
      <alignment vertical="center" wrapText="1"/>
    </xf>
    <xf numFmtId="10" fontId="6" fillId="5" borderId="0" xfId="0" applyNumberFormat="1" applyFont="1" applyFill="1" applyBorder="1" applyAlignment="1">
      <alignment horizontal="center" wrapText="1"/>
    </xf>
    <xf numFmtId="4" fontId="1" fillId="0" borderId="0" xfId="0" applyNumberFormat="1" applyFont="1" applyBorder="1"/>
    <xf numFmtId="0" fontId="4" fillId="0" borderId="34" xfId="0" applyFont="1" applyBorder="1" applyAlignment="1">
      <alignment vertical="center" wrapText="1"/>
    </xf>
    <xf numFmtId="10" fontId="6" fillId="5" borderId="35" xfId="0" applyNumberFormat="1" applyFont="1" applyFill="1" applyBorder="1" applyAlignment="1">
      <alignment horizontal="center" wrapText="1"/>
    </xf>
    <xf numFmtId="3" fontId="4" fillId="5" borderId="36" xfId="0" applyNumberFormat="1" applyFont="1" applyFill="1" applyBorder="1" applyAlignment="1">
      <alignment horizontal="center" wrapText="1"/>
    </xf>
    <xf numFmtId="0" fontId="4" fillId="0" borderId="37" xfId="0" applyFont="1" applyBorder="1" applyAlignment="1">
      <alignment vertical="center" wrapText="1"/>
    </xf>
    <xf numFmtId="3" fontId="4" fillId="5" borderId="38" xfId="0" applyNumberFormat="1" applyFont="1" applyFill="1" applyBorder="1" applyAlignment="1">
      <alignment horizontal="center" wrapText="1"/>
    </xf>
    <xf numFmtId="0" fontId="0" fillId="5" borderId="0" xfId="0" applyFill="1" applyBorder="1"/>
    <xf numFmtId="0" fontId="4" fillId="0" borderId="39" xfId="0" applyFont="1" applyBorder="1" applyAlignment="1">
      <alignment vertical="center" wrapText="1"/>
    </xf>
    <xf numFmtId="0" fontId="0" fillId="5" borderId="40" xfId="0" applyFill="1" applyBorder="1"/>
    <xf numFmtId="3" fontId="4" fillId="5" borderId="41" xfId="0" applyNumberFormat="1" applyFont="1" applyFill="1" applyBorder="1" applyAlignment="1">
      <alignment horizontal="center" wrapText="1"/>
    </xf>
    <xf numFmtId="0" fontId="6" fillId="0" borderId="42" xfId="0" applyFont="1" applyBorder="1" applyAlignment="1">
      <alignment vertical="center" wrapText="1"/>
    </xf>
    <xf numFmtId="10" fontId="6" fillId="5" borderId="43" xfId="0" applyNumberFormat="1" applyFont="1" applyFill="1" applyBorder="1" applyAlignment="1">
      <alignment horizontal="center" wrapText="1"/>
    </xf>
    <xf numFmtId="3" fontId="6" fillId="5" borderId="43" xfId="0" applyNumberFormat="1" applyFont="1" applyFill="1" applyBorder="1" applyAlignment="1">
      <alignment horizontal="center" wrapText="1"/>
    </xf>
    <xf numFmtId="4" fontId="1" fillId="0" borderId="43" xfId="0" applyNumberFormat="1" applyFont="1" applyBorder="1"/>
    <xf numFmtId="4" fontId="1" fillId="0" borderId="44" xfId="0" applyNumberFormat="1" applyFont="1" applyBorder="1"/>
    <xf numFmtId="0" fontId="0" fillId="0" borderId="45" xfId="0" applyBorder="1"/>
    <xf numFmtId="10" fontId="10" fillId="0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2" fontId="0" fillId="0" borderId="0" xfId="0" applyNumberFormat="1"/>
    <xf numFmtId="4" fontId="1" fillId="0" borderId="0" xfId="0" applyNumberFormat="1" applyFont="1"/>
    <xf numFmtId="0" fontId="0" fillId="10" borderId="0" xfId="0" applyFill="1"/>
    <xf numFmtId="3" fontId="13" fillId="0" borderId="11" xfId="0" applyNumberFormat="1" applyFont="1" applyBorder="1"/>
    <xf numFmtId="3" fontId="13" fillId="0" borderId="10" xfId="0" applyNumberFormat="1" applyFont="1" applyBorder="1"/>
    <xf numFmtId="10" fontId="13" fillId="0" borderId="10" xfId="0" applyNumberFormat="1" applyFont="1" applyBorder="1"/>
    <xf numFmtId="0" fontId="14" fillId="0" borderId="9" xfId="0" applyFont="1" applyBorder="1" applyAlignment="1">
      <alignment vertical="center" wrapText="1"/>
    </xf>
    <xf numFmtId="3" fontId="12" fillId="0" borderId="7" xfId="0" applyNumberFormat="1" applyFont="1" applyBorder="1"/>
    <xf numFmtId="3" fontId="12" fillId="0" borderId="1" xfId="0" applyNumberFormat="1" applyFont="1" applyBorder="1"/>
    <xf numFmtId="165" fontId="12" fillId="0" borderId="1" xfId="1" applyNumberFormat="1" applyFont="1" applyBorder="1"/>
    <xf numFmtId="10" fontId="12" fillId="0" borderId="1" xfId="0" applyNumberFormat="1" applyFont="1" applyBorder="1"/>
    <xf numFmtId="0" fontId="8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/>
    </xf>
    <xf numFmtId="4" fontId="1" fillId="3" borderId="26" xfId="0" applyNumberFormat="1" applyFont="1" applyFill="1" applyBorder="1"/>
    <xf numFmtId="4" fontId="0" fillId="4" borderId="26" xfId="0" applyNumberFormat="1" applyFill="1" applyBorder="1"/>
    <xf numFmtId="4" fontId="0" fillId="0" borderId="54" xfId="0" applyNumberFormat="1" applyBorder="1"/>
    <xf numFmtId="4" fontId="0" fillId="0" borderId="8" xfId="0" applyNumberFormat="1" applyBorder="1"/>
    <xf numFmtId="0" fontId="7" fillId="0" borderId="53" xfId="0" applyFont="1" applyBorder="1" applyAlignment="1">
      <alignment wrapText="1"/>
    </xf>
    <xf numFmtId="0" fontId="4" fillId="0" borderId="2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10" fontId="6" fillId="5" borderId="10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>
      <alignment horizontal="center" wrapText="1"/>
    </xf>
    <xf numFmtId="4" fontId="1" fillId="0" borderId="10" xfId="0" applyNumberFormat="1" applyFont="1" applyBorder="1"/>
    <xf numFmtId="4" fontId="1" fillId="0" borderId="11" xfId="0" applyNumberFormat="1" applyFont="1" applyBorder="1"/>
    <xf numFmtId="0" fontId="4" fillId="0" borderId="0" xfId="0" applyFont="1" applyAlignment="1">
      <alignment vertical="center" wrapText="1"/>
    </xf>
    <xf numFmtId="0" fontId="0" fillId="5" borderId="0" xfId="0" applyFill="1"/>
    <xf numFmtId="3" fontId="4" fillId="5" borderId="0" xfId="0" applyNumberFormat="1" applyFont="1" applyFill="1" applyAlignment="1">
      <alignment horizontal="center" wrapText="1"/>
    </xf>
    <xf numFmtId="3" fontId="5" fillId="0" borderId="0" xfId="0" applyNumberFormat="1" applyFont="1"/>
    <xf numFmtId="0" fontId="1" fillId="1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0" fillId="10" borderId="1" xfId="0" applyNumberFormat="1" applyFill="1" applyBorder="1"/>
    <xf numFmtId="0" fontId="1" fillId="0" borderId="1" xfId="0" applyFont="1" applyBorder="1" applyAlignment="1">
      <alignment wrapText="1"/>
    </xf>
    <xf numFmtId="0" fontId="17" fillId="0" borderId="0" xfId="0" applyFont="1"/>
    <xf numFmtId="0" fontId="0" fillId="0" borderId="1" xfId="0" applyBorder="1"/>
    <xf numFmtId="0" fontId="1" fillId="0" borderId="1" xfId="0" applyFont="1" applyBorder="1"/>
    <xf numFmtId="0" fontId="0" fillId="11" borderId="1" xfId="0" applyFill="1" applyBorder="1"/>
    <xf numFmtId="0" fontId="15" fillId="11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11" borderId="1" xfId="0" applyFill="1" applyBorder="1"/>
    <xf numFmtId="0" fontId="15" fillId="11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7" fillId="0" borderId="55" xfId="0" applyFont="1" applyBorder="1" applyAlignment="1">
      <alignment wrapText="1"/>
    </xf>
    <xf numFmtId="4" fontId="0" fillId="0" borderId="48" xfId="0" applyNumberFormat="1" applyBorder="1"/>
    <xf numFmtId="4" fontId="1" fillId="0" borderId="56" xfId="0" applyNumberFormat="1" applyFont="1" applyBorder="1"/>
    <xf numFmtId="4" fontId="0" fillId="0" borderId="1" xfId="0" applyNumberFormat="1" applyBorder="1" applyAlignment="1">
      <alignment wrapText="1"/>
    </xf>
    <xf numFmtId="0" fontId="18" fillId="0" borderId="0" xfId="0" applyFont="1"/>
    <xf numFmtId="0" fontId="1" fillId="0" borderId="0" xfId="0" applyFont="1" applyBorder="1" applyAlignment="1">
      <alignment wrapText="1"/>
    </xf>
    <xf numFmtId="4" fontId="1" fillId="3" borderId="7" xfId="0" applyNumberFormat="1" applyFont="1" applyFill="1" applyBorder="1" applyAlignment="1"/>
    <xf numFmtId="4" fontId="1" fillId="3" borderId="9" xfId="0" applyNumberFormat="1" applyFont="1" applyFill="1" applyBorder="1" applyAlignment="1">
      <alignment horizontal="center"/>
    </xf>
    <xf numFmtId="4" fontId="1" fillId="3" borderId="11" xfId="0" applyNumberFormat="1" applyFont="1" applyFill="1" applyBorder="1" applyAlignment="1"/>
    <xf numFmtId="0" fontId="1" fillId="9" borderId="0" xfId="0" applyFont="1" applyFill="1" applyBorder="1" applyAlignment="1">
      <alignment wrapText="1"/>
    </xf>
    <xf numFmtId="4" fontId="1" fillId="9" borderId="0" xfId="0" applyNumberFormat="1" applyFont="1" applyFill="1" applyBorder="1" applyAlignment="1"/>
    <xf numFmtId="165" fontId="13" fillId="0" borderId="10" xfId="1" applyNumberFormat="1" applyFont="1" applyBorder="1"/>
    <xf numFmtId="0" fontId="14" fillId="0" borderId="0" xfId="0" applyFont="1" applyBorder="1" applyAlignment="1">
      <alignment vertical="center" wrapText="1"/>
    </xf>
    <xf numFmtId="10" fontId="13" fillId="0" borderId="0" xfId="0" applyNumberFormat="1" applyFont="1" applyBorder="1"/>
    <xf numFmtId="165" fontId="13" fillId="0" borderId="0" xfId="1" applyNumberFormat="1" applyFont="1" applyBorder="1"/>
    <xf numFmtId="3" fontId="13" fillId="0" borderId="0" xfId="0" applyNumberFormat="1" applyFont="1" applyBorder="1"/>
    <xf numFmtId="0" fontId="14" fillId="0" borderId="5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3" borderId="57" xfId="0" applyFont="1" applyFill="1" applyBorder="1" applyAlignment="1">
      <alignment horizontal="center" wrapText="1"/>
    </xf>
    <xf numFmtId="0" fontId="1" fillId="3" borderId="58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Mesečne</a:t>
            </a:r>
            <a:r>
              <a:rPr lang="sr-Latn-RS" baseline="0"/>
              <a:t> dotacije parlamentarnim listama iz budžeta od avgusta 2022</a:t>
            </a:r>
            <a:endParaRPr lang="en-US"/>
          </a:p>
        </c:rich>
      </c:tx>
      <c:layout>
        <c:manualLayout>
          <c:xMode val="edge"/>
          <c:yMode val="edge"/>
          <c:x val="0.11031395114072282"/>
          <c:y val="1.8561484918793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447775215646091E-2"/>
                  <c:y val="-0.330990810473799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65-49E2-B9BD-E1C76B953BA1}"/>
                </c:ext>
              </c:extLst>
            </c:dLbl>
            <c:dLbl>
              <c:idx val="2"/>
              <c:layout>
                <c:manualLayout>
                  <c:x val="3.2290834958254141E-17"/>
                  <c:y val="-4.68636084062577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65-49E2-B9BD-E1C76B953BA1}"/>
                </c:ext>
              </c:extLst>
            </c:dLbl>
            <c:dLbl>
              <c:idx val="4"/>
              <c:layout>
                <c:manualLayout>
                  <c:x val="0"/>
                  <c:y val="-7.35461083605848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65-49E2-B9BD-E1C76B953BA1}"/>
                </c:ext>
              </c:extLst>
            </c:dLbl>
            <c:dLbl>
              <c:idx val="6"/>
              <c:layout>
                <c:manualLayout>
                  <c:x val="-6.4581669916508282E-17"/>
                  <c:y val="-9.0853840485716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65-49E2-B9BD-E1C76B953BA1}"/>
                </c:ext>
              </c:extLst>
            </c:dLbl>
            <c:dLbl>
              <c:idx val="8"/>
              <c:layout>
                <c:manualLayout>
                  <c:x val="0"/>
                  <c:y val="-6.6147578420446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65-49E2-B9BD-E1C76B953BA1}"/>
                </c:ext>
              </c:extLst>
            </c:dLbl>
            <c:dLbl>
              <c:idx val="9"/>
              <c:layout>
                <c:manualLayout>
                  <c:x val="0"/>
                  <c:y val="-4.4113731723209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65-49E2-B9BD-E1C76B953BA1}"/>
                </c:ext>
              </c:extLst>
            </c:dLbl>
            <c:dLbl>
              <c:idx val="10"/>
              <c:layout>
                <c:manualLayout>
                  <c:x val="0"/>
                  <c:y val="-8.33235288744359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65-49E2-B9BD-E1C76B953BA1}"/>
                </c:ext>
              </c:extLst>
            </c:dLbl>
            <c:dLbl>
              <c:idx val="11"/>
              <c:layout>
                <c:manualLayout>
                  <c:x val="0"/>
                  <c:y val="-4.31878497786385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65-49E2-B9BD-E1C76B953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'red rad novi saziv 2022 sajt'!$B$6:$B$18</c15:sqref>
                  </c15:fullRef>
                </c:ext>
              </c:extLst>
              <c:f>'red rad novi saziv 2022 sajt'!$B$6:$B$17</c:f>
              <c:strCache>
                <c:ptCount val="12"/>
                <c:pt idx="0">
                  <c:v>SNS</c:v>
                </c:pt>
                <c:pt idx="1">
                  <c:v>SPS - JS</c:v>
                </c:pt>
                <c:pt idx="2">
                  <c:v>SVM</c:v>
                </c:pt>
                <c:pt idx="3">
                  <c:v>UPS</c:v>
                </c:pt>
                <c:pt idx="4">
                  <c:v>NADA</c:v>
                </c:pt>
                <c:pt idx="5">
                  <c:v>Zavetnici</c:v>
                </c:pt>
                <c:pt idx="6">
                  <c:v>SPP</c:v>
                </c:pt>
                <c:pt idx="7">
                  <c:v>Moramo</c:v>
                </c:pt>
                <c:pt idx="8">
                  <c:v>DVERI - POKS</c:v>
                </c:pt>
                <c:pt idx="9">
                  <c:v>ZZV</c:v>
                </c:pt>
                <c:pt idx="10">
                  <c:v>SDA</c:v>
                </c:pt>
                <c:pt idx="11">
                  <c:v>KAD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'red rad novi saziv 2022 sajt'!$F$6:$F$18</c15:sqref>
                  </c15:fullRef>
                </c:ext>
              </c:extLst>
              <c:f>'red rad novi saziv 2022 sajt'!$F$6:$F$17</c:f>
              <c:numCache>
                <c:formatCode>#,##0</c:formatCode>
                <c:ptCount val="12"/>
                <c:pt idx="0">
                  <c:v>50318513.199739546</c:v>
                </c:pt>
                <c:pt idx="1">
                  <c:v>14605072.517708773</c:v>
                </c:pt>
                <c:pt idx="2">
                  <c:v>2692864.9822467044</c:v>
                </c:pt>
                <c:pt idx="3">
                  <c:v>17140995.020777486</c:v>
                </c:pt>
                <c:pt idx="4">
                  <c:v>7734370.0696667284</c:v>
                </c:pt>
                <c:pt idx="5">
                  <c:v>5852687.8940971727</c:v>
                </c:pt>
                <c:pt idx="6">
                  <c:v>1600636.8380538914</c:v>
                </c:pt>
                <c:pt idx="7">
                  <c:v>6969070.697408177</c:v>
                </c:pt>
                <c:pt idx="8">
                  <c:v>5957908.7443532497</c:v>
                </c:pt>
                <c:pt idx="9">
                  <c:v>1072627.598254022</c:v>
                </c:pt>
                <c:pt idx="10">
                  <c:v>917653.80564913887</c:v>
                </c:pt>
                <c:pt idx="11">
                  <c:v>453848.63204512704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5-49E2-B9BD-E1C76B95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3194144"/>
        <c:axId val="783197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'red rad novi saziv 2022 sajt'!$B$6:$B$18</c15:sqref>
                        </c15:fullRef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'red rad novi saziv 2022 sajt'!$C$6:$C$18</c15:sqref>
                        </c15:fullRef>
                        <c15:formulaRef>
                          <c15:sqref>'red rad novi saziv 2022 sajt'!$C$6:$C$17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0.44271751655959068</c:v>
                      </c:pt>
                      <c:pt idx="1">
                        <c:v>0.11785414130561922</c:v>
                      </c:pt>
                      <c:pt idx="2">
                        <c:v>1.6330258238640056E-2</c:v>
                      </c:pt>
                      <c:pt idx="3">
                        <c:v>0.14092141288290669</c:v>
                      </c:pt>
                      <c:pt idx="4">
                        <c:v>5.5354953581160403E-2</c:v>
                      </c:pt>
                      <c:pt idx="5">
                        <c:v>3.8238412618646384E-2</c:v>
                      </c:pt>
                      <c:pt idx="6">
                        <c:v>9.7066927172458004E-3</c:v>
                      </c:pt>
                      <c:pt idx="7">
                        <c:v>4.839348143463023E-2</c:v>
                      </c:pt>
                      <c:pt idx="8">
                        <c:v>3.9195543964684429E-2</c:v>
                      </c:pt>
                      <c:pt idx="9">
                        <c:v>6.5047025338664747E-3</c:v>
                      </c:pt>
                      <c:pt idx="10">
                        <c:v>5.5648997327071952E-3</c:v>
                      </c:pt>
                      <c:pt idx="11">
                        <c:v>2.7522602920726238E-3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5D65-49E2-B9BD-E1C76B953BA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sajt'!$B$6:$B$18</c15:sqref>
                        </c15:fullRef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sajt'!$D$6:$D$18</c15:sqref>
                        </c15:fullRef>
                        <c15:formulaRef>
                          <c15:sqref>'red rad novi saziv 2022 sajt'!$D$6:$D$17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1635101</c:v>
                      </c:pt>
                      <c:pt idx="1">
                        <c:v>435274</c:v>
                      </c:pt>
                      <c:pt idx="2">
                        <c:v>60313</c:v>
                      </c:pt>
                      <c:pt idx="3">
                        <c:v>520469</c:v>
                      </c:pt>
                      <c:pt idx="4">
                        <c:v>204444</c:v>
                      </c:pt>
                      <c:pt idx="5">
                        <c:v>141227</c:v>
                      </c:pt>
                      <c:pt idx="6">
                        <c:v>35850</c:v>
                      </c:pt>
                      <c:pt idx="7">
                        <c:v>178733</c:v>
                      </c:pt>
                      <c:pt idx="8">
                        <c:v>144762</c:v>
                      </c:pt>
                      <c:pt idx="9">
                        <c:v>24024</c:v>
                      </c:pt>
                      <c:pt idx="10">
                        <c:v>20553</c:v>
                      </c:pt>
                      <c:pt idx="11">
                        <c:v>10165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D65-49E2-B9BD-E1C76B953BA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sajt'!$B$6:$B$18</c15:sqref>
                        </c15:fullRef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sajt'!$E$6:$E$18</c15:sqref>
                        </c15:fullRef>
                        <c15:formulaRef>
                          <c15:sqref>'red rad novi saziv 2022 sajt'!$E$6:$E$17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603822158.39687455</c:v>
                      </c:pt>
                      <c:pt idx="1">
                        <c:v>175260870.21250528</c:v>
                      </c:pt>
                      <c:pt idx="2">
                        <c:v>32314379.786960453</c:v>
                      </c:pt>
                      <c:pt idx="3">
                        <c:v>205691940.24932984</c:v>
                      </c:pt>
                      <c:pt idx="4">
                        <c:v>92812440.836000741</c:v>
                      </c:pt>
                      <c:pt idx="5">
                        <c:v>70232254.729166076</c:v>
                      </c:pt>
                      <c:pt idx="6">
                        <c:v>19207642.056646697</c:v>
                      </c:pt>
                      <c:pt idx="7">
                        <c:v>83628848.368898124</c:v>
                      </c:pt>
                      <c:pt idx="8">
                        <c:v>71494904.932238996</c:v>
                      </c:pt>
                      <c:pt idx="9">
                        <c:v>12871531.179048263</c:v>
                      </c:pt>
                      <c:pt idx="10">
                        <c:v>11011845.667789666</c:v>
                      </c:pt>
                      <c:pt idx="11">
                        <c:v>5446183.5845415248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D65-49E2-B9BD-E1C76B953BA1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sajt'!$B$6:$B$18</c15:sqref>
                        </c15:fullRef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sajt'!$G$6:$G$18</c15:sqref>
                        </c15:fullRef>
                        <c15:formulaRef>
                          <c15:sqref>'red rad novi saziv 2022 sajt'!$G$6:$G$17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2415288633.5874982</c:v>
                      </c:pt>
                      <c:pt idx="1">
                        <c:v>701043480.85002112</c:v>
                      </c:pt>
                      <c:pt idx="2">
                        <c:v>129257519.14784181</c:v>
                      </c:pt>
                      <c:pt idx="3">
                        <c:v>822767760.99731934</c:v>
                      </c:pt>
                      <c:pt idx="4">
                        <c:v>371249763.34400296</c:v>
                      </c:pt>
                      <c:pt idx="5">
                        <c:v>280929018.9166643</c:v>
                      </c:pt>
                      <c:pt idx="6">
                        <c:v>76830568.226586789</c:v>
                      </c:pt>
                      <c:pt idx="7">
                        <c:v>334515393.47559249</c:v>
                      </c:pt>
                      <c:pt idx="8">
                        <c:v>285979619.72895598</c:v>
                      </c:pt>
                      <c:pt idx="9">
                        <c:v>51486124.71619305</c:v>
                      </c:pt>
                      <c:pt idx="10">
                        <c:v>44047382.671158664</c:v>
                      </c:pt>
                      <c:pt idx="11">
                        <c:v>21784734.338166099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D65-49E2-B9BD-E1C76B953BA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sajt'!$B$6:$B$18</c15:sqref>
                        </c15:fullRef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'red rad novi saziv 2022 sajt'!$H$6:$H$18</c15:sqref>
                        </c15:fullRef>
                        <c15:formulaRef>
                          <c15:sqref>'red rad novi saziv 2022 sajt'!$H$6:$H$17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20538168.652954917</c:v>
                      </c:pt>
                      <c:pt idx="1">
                        <c:v>5961254.0888607241</c:v>
                      </c:pt>
                      <c:pt idx="2">
                        <c:v>1099128.5641823283</c:v>
                      </c:pt>
                      <c:pt idx="3">
                        <c:v>6996324.4982765252</c:v>
                      </c:pt>
                      <c:pt idx="4">
                        <c:v>3156885.7427211138</c:v>
                      </c:pt>
                      <c:pt idx="5">
                        <c:v>2388852.2016723156</c:v>
                      </c:pt>
                      <c:pt idx="6">
                        <c:v>653321.15838934353</c:v>
                      </c:pt>
                      <c:pt idx="7">
                        <c:v>2844518.6520033376</c:v>
                      </c:pt>
                      <c:pt idx="8">
                        <c:v>2431799.4874911224</c:v>
                      </c:pt>
                      <c:pt idx="9">
                        <c:v>437807.18296082527</c:v>
                      </c:pt>
                      <c:pt idx="10">
                        <c:v>374552.57373434241</c:v>
                      </c:pt>
                      <c:pt idx="11">
                        <c:v>185244.33961025596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D65-49E2-B9BD-E1C76B953BA1}"/>
                  </c:ext>
                </c:extLst>
              </c15:ser>
            </c15:filteredBarSeries>
          </c:ext>
        </c:extLst>
      </c:barChart>
      <c:catAx>
        <c:axId val="7831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83197096"/>
        <c:crosses val="autoZero"/>
        <c:auto val="1"/>
        <c:lblAlgn val="ctr"/>
        <c:lblOffset val="100"/>
        <c:noMultiLvlLbl val="0"/>
      </c:catAx>
      <c:valAx>
        <c:axId val="783197096"/>
        <c:scaling>
          <c:orientation val="minMax"/>
          <c:max val="5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83194144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Dotacije</a:t>
            </a:r>
            <a:r>
              <a:rPr lang="sr-Latn-RS" baseline="0"/>
              <a:t> izbornim listama iz budžeta Srbije za redovan rad novi saziv Skupštine - udeli pojedinih izbornih lista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2"/>
          <c:order val="2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0E-4837-8E81-DB47442CC9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0E-4837-8E81-DB47442CC9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0E-4837-8E81-DB47442CC9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0E-4837-8E81-DB47442CC9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0E-4837-8E81-DB47442CC9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0E-4837-8E81-DB47442CC9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0E-4837-8E81-DB47442CC9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0E-4837-8E81-DB47442CC9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0E-4837-8E81-DB47442CC9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0E-4837-8E81-DB47442CC9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0E-4837-8E81-DB47442CC9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40E-4837-8E81-DB47442CC938}"/>
              </c:ext>
            </c:extLst>
          </c:dPt>
          <c:dLbls>
            <c:dLbl>
              <c:idx val="0"/>
              <c:layout>
                <c:manualLayout>
                  <c:x val="-6.2481961503304765E-3"/>
                  <c:y val="-1.614888242715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0E-4837-8E81-DB47442CC938}"/>
                </c:ext>
              </c:extLst>
            </c:dLbl>
            <c:dLbl>
              <c:idx val="1"/>
              <c:layout>
                <c:manualLayout>
                  <c:x val="6.2033740183855143E-2"/>
                  <c:y val="-2.9126814781942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0E-4837-8E81-DB47442CC938}"/>
                </c:ext>
              </c:extLst>
            </c:dLbl>
            <c:dLbl>
              <c:idx val="3"/>
              <c:layout>
                <c:manualLayout>
                  <c:x val="-6.4911459710946988E-3"/>
                  <c:y val="-3.9903916858669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0E-4837-8E81-DB47442CC938}"/>
                </c:ext>
              </c:extLst>
            </c:dLbl>
            <c:dLbl>
              <c:idx val="4"/>
              <c:layout>
                <c:manualLayout>
                  <c:x val="-9.2811503643870537E-3"/>
                  <c:y val="2.3355821692169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0E-4837-8E81-DB47442CC938}"/>
                </c:ext>
              </c:extLst>
            </c:dLbl>
            <c:dLbl>
              <c:idx val="5"/>
              <c:layout>
                <c:manualLayout>
                  <c:x val="-7.6404101511428216E-3"/>
                  <c:y val="2.5239533507482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0E-4837-8E81-DB47442CC938}"/>
                </c:ext>
              </c:extLst>
            </c:dLbl>
            <c:dLbl>
              <c:idx val="6"/>
              <c:layout>
                <c:manualLayout>
                  <c:x val="-1.7226528854435832E-2"/>
                  <c:y val="-8.139061137014839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58895588094551E-2"/>
                      <c:h val="7.59606613608744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40E-4837-8E81-DB47442CC938}"/>
                </c:ext>
              </c:extLst>
            </c:dLbl>
            <c:dLbl>
              <c:idx val="7"/>
              <c:layout>
                <c:manualLayout>
                  <c:x val="2.1946115478028674E-2"/>
                  <c:y val="1.65246396589006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0E-4837-8E81-DB47442CC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'red rad novi saziv 2022 sajt'!$B$6:$B$17</c:f>
              <c:strCache>
                <c:ptCount val="12"/>
                <c:pt idx="0">
                  <c:v>SNS</c:v>
                </c:pt>
                <c:pt idx="1">
                  <c:v>SPS - JS</c:v>
                </c:pt>
                <c:pt idx="2">
                  <c:v>SVM</c:v>
                </c:pt>
                <c:pt idx="3">
                  <c:v>UPS</c:v>
                </c:pt>
                <c:pt idx="4">
                  <c:v>NADA</c:v>
                </c:pt>
                <c:pt idx="5">
                  <c:v>Zavetnici</c:v>
                </c:pt>
                <c:pt idx="6">
                  <c:v>SPP</c:v>
                </c:pt>
                <c:pt idx="7">
                  <c:v>Moramo</c:v>
                </c:pt>
                <c:pt idx="8">
                  <c:v>DVERI - POKS</c:v>
                </c:pt>
                <c:pt idx="9">
                  <c:v>ZZV</c:v>
                </c:pt>
                <c:pt idx="10">
                  <c:v>SDA</c:v>
                </c:pt>
                <c:pt idx="11">
                  <c:v>KAD</c:v>
                </c:pt>
              </c:strCache>
            </c:strRef>
          </c:cat>
          <c:val>
            <c:numRef>
              <c:f>'red rad novi saziv 2022 sajt'!$E$6:$E$17</c:f>
              <c:numCache>
                <c:formatCode>#,##0</c:formatCode>
                <c:ptCount val="12"/>
                <c:pt idx="0">
                  <c:v>603822158.39687455</c:v>
                </c:pt>
                <c:pt idx="1">
                  <c:v>175260870.21250528</c:v>
                </c:pt>
                <c:pt idx="2">
                  <c:v>32314379.786960453</c:v>
                </c:pt>
                <c:pt idx="3">
                  <c:v>205691940.24932984</c:v>
                </c:pt>
                <c:pt idx="4">
                  <c:v>92812440.836000741</c:v>
                </c:pt>
                <c:pt idx="5">
                  <c:v>70232254.729166076</c:v>
                </c:pt>
                <c:pt idx="6">
                  <c:v>19207642.056646697</c:v>
                </c:pt>
                <c:pt idx="7">
                  <c:v>83628848.368898124</c:v>
                </c:pt>
                <c:pt idx="8">
                  <c:v>71494904.932238996</c:v>
                </c:pt>
                <c:pt idx="9">
                  <c:v>12871531.179048263</c:v>
                </c:pt>
                <c:pt idx="10">
                  <c:v>11011845.667789666</c:v>
                </c:pt>
                <c:pt idx="11">
                  <c:v>5446183.5845415248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40E-4837-8E81-DB47442C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240E-4837-8E81-DB47442CC9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240E-4837-8E81-DB47442CC93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240E-4837-8E81-DB47442CC93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240E-4837-8E81-DB47442CC93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240E-4837-8E81-DB47442CC93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240E-4837-8E81-DB47442CC93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240E-4837-8E81-DB47442CC93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240E-4837-8E81-DB47442CC93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240E-4837-8E81-DB47442CC93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240E-4837-8E81-DB47442CC93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E-240E-4837-8E81-DB47442CC938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0-240E-4837-8E81-DB47442CC938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'red rad novi saziv 2022 sajt'!$C$6:$C$17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0.44271751655959068</c:v>
                      </c:pt>
                      <c:pt idx="1">
                        <c:v>0.11785414130561922</c:v>
                      </c:pt>
                      <c:pt idx="2">
                        <c:v>1.6330258238640056E-2</c:v>
                      </c:pt>
                      <c:pt idx="3">
                        <c:v>0.14092141288290669</c:v>
                      </c:pt>
                      <c:pt idx="4">
                        <c:v>5.5354953581160403E-2</c:v>
                      </c:pt>
                      <c:pt idx="5">
                        <c:v>3.8238412618646384E-2</c:v>
                      </c:pt>
                      <c:pt idx="6">
                        <c:v>9.7066927172458004E-3</c:v>
                      </c:pt>
                      <c:pt idx="7">
                        <c:v>4.839348143463023E-2</c:v>
                      </c:pt>
                      <c:pt idx="8">
                        <c:v>3.9195543964684429E-2</c:v>
                      </c:pt>
                      <c:pt idx="9">
                        <c:v>6.5047025338664747E-3</c:v>
                      </c:pt>
                      <c:pt idx="10">
                        <c:v>5.5648997327071952E-3</c:v>
                      </c:pt>
                      <c:pt idx="11">
                        <c:v>2.7522602920726238E-3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31-240E-4837-8E81-DB47442CC93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240E-4837-8E81-DB47442CC9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240E-4837-8E81-DB47442CC93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240E-4837-8E81-DB47442CC93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240E-4837-8E81-DB47442CC93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240E-4837-8E81-DB47442CC93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240E-4837-8E81-DB47442CC93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40E-4837-8E81-DB47442CC93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40E-4837-8E81-DB47442CC93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240E-4837-8E81-DB47442CC93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40E-4837-8E81-DB47442CC93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40E-4837-8E81-DB47442CC938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40E-4837-8E81-DB47442CC938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'red rad novi saziv 2022 sajt'!$B$6:$B$17</c15:sqref>
                        </c15:formulaRef>
                      </c:ext>
                    </c:extLst>
                    <c:strCache>
                      <c:ptCount val="12"/>
                      <c:pt idx="0">
                        <c:v>SNS</c:v>
                      </c:pt>
                      <c:pt idx="1">
                        <c:v>SPS - JS</c:v>
                      </c:pt>
                      <c:pt idx="2">
                        <c:v>SVM</c:v>
                      </c:pt>
                      <c:pt idx="3">
                        <c:v>UPS</c:v>
                      </c:pt>
                      <c:pt idx="4">
                        <c:v>NADA</c:v>
                      </c:pt>
                      <c:pt idx="5">
                        <c:v>Zavetnici</c:v>
                      </c:pt>
                      <c:pt idx="6">
                        <c:v>SPP</c:v>
                      </c:pt>
                      <c:pt idx="7">
                        <c:v>Moramo</c:v>
                      </c:pt>
                      <c:pt idx="8">
                        <c:v>DVERI - POKS</c:v>
                      </c:pt>
                      <c:pt idx="9">
                        <c:v>ZZV</c:v>
                      </c:pt>
                      <c:pt idx="10">
                        <c:v>SDA</c:v>
                      </c:pt>
                      <c:pt idx="11">
                        <c:v>KAD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'red rad novi saziv 2022 sajt'!$D$6:$D$17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1635101</c:v>
                      </c:pt>
                      <c:pt idx="1">
                        <c:v>435274</c:v>
                      </c:pt>
                      <c:pt idx="2">
                        <c:v>60313</c:v>
                      </c:pt>
                      <c:pt idx="3">
                        <c:v>520469</c:v>
                      </c:pt>
                      <c:pt idx="4">
                        <c:v>204444</c:v>
                      </c:pt>
                      <c:pt idx="5">
                        <c:v>141227</c:v>
                      </c:pt>
                      <c:pt idx="6">
                        <c:v>35850</c:v>
                      </c:pt>
                      <c:pt idx="7">
                        <c:v>178733</c:v>
                      </c:pt>
                      <c:pt idx="8">
                        <c:v>144762</c:v>
                      </c:pt>
                      <c:pt idx="9">
                        <c:v>24024</c:v>
                      </c:pt>
                      <c:pt idx="10">
                        <c:v>20553</c:v>
                      </c:pt>
                      <c:pt idx="11">
                        <c:v>10165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A-240E-4837-8E81-DB47442CC93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raspodela</a:t>
            </a:r>
            <a:r>
              <a:rPr lang="sr-Latn-RS" baseline="0"/>
              <a:t> novca iz </a:t>
            </a:r>
            <a:r>
              <a:rPr lang="en-US"/>
              <a:t>budžet</a:t>
            </a:r>
            <a:r>
              <a:rPr lang="sr-Latn-RS"/>
              <a:t>a republički</a:t>
            </a:r>
            <a:r>
              <a:rPr lang="sr-Latn-RS" baseline="0"/>
              <a:t> izbori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'Raspodela budžetskog novca 6,4'!$F$38</c:f>
              <c:strCache>
                <c:ptCount val="1"/>
                <c:pt idx="0">
                  <c:v>ukupno budžet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C2-4559-BB47-DA25C7B468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C2-4559-BB47-DA25C7B468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C2-4559-BB47-DA25C7B468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C2-4559-BB47-DA25C7B468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C2-4559-BB47-DA25C7B468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8C2-4559-BB47-DA25C7B468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8C2-4559-BB47-DA25C7B468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8C2-4559-BB47-DA25C7B468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8C2-4559-BB47-DA25C7B468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8C2-4559-BB47-DA25C7B468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8C2-4559-BB47-DA25C7B468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8C2-4559-BB47-DA25C7B4682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8C2-4559-BB47-DA25C7B4682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8C2-4559-BB47-DA25C7B4682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8C2-4559-BB47-DA25C7B4682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8C2-4559-BB47-DA25C7B4682A}"/>
              </c:ext>
            </c:extLst>
          </c:dPt>
          <c:dLbls>
            <c:dLbl>
              <c:idx val="0"/>
              <c:layout>
                <c:manualLayout>
                  <c:x val="-4.7480838662772785E-2"/>
                  <c:y val="-0.24440960990348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2-4559-BB47-DA25C7B4682A}"/>
                </c:ext>
              </c:extLst>
            </c:dLbl>
            <c:dLbl>
              <c:idx val="7"/>
              <c:layout>
                <c:manualLayout>
                  <c:x val="-1.4456489593730362E-3"/>
                  <c:y val="-2.37031936025258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C2-4559-BB47-DA25C7B4682A}"/>
                </c:ext>
              </c:extLst>
            </c:dLbl>
            <c:dLbl>
              <c:idx val="8"/>
              <c:layout>
                <c:manualLayout>
                  <c:x val="-1.5349555777358815E-2"/>
                  <c:y val="-3.7188792137461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C2-4559-BB47-DA25C7B46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budžetskog novca 6,4'!$A$39:$A$58</c15:sqref>
                  </c15:fullRef>
                </c:ext>
              </c:extLst>
              <c:f>('Raspodela budžetskog novca 6,4'!$A$39:$A$45,'Raspodela budžetskog novca 6,4'!$A$47:$A$54,'Raspodela budžetskog novca 6,4'!$A$58)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budžetskog novca 6,4'!$F$39:$F$58</c15:sqref>
                  </c15:fullRef>
                </c:ext>
              </c:extLst>
              <c:f>('Raspodela budžetskog novca 6,4'!$F$39:$F$45,'Raspodela budžetskog novca 6,4'!$F$47:$F$54,'Raspodela budžetskog novca 6,4'!$F$58)</c:f>
              <c:numCache>
                <c:formatCode>#,##0</c:formatCode>
                <c:ptCount val="16"/>
                <c:pt idx="0">
                  <c:v>8088099.5860934183</c:v>
                </c:pt>
                <c:pt idx="1">
                  <c:v>1334309.9221651647</c:v>
                </c:pt>
                <c:pt idx="2">
                  <c:v>869444.57204439258</c:v>
                </c:pt>
                <c:pt idx="3">
                  <c:v>768386.88723552891</c:v>
                </c:pt>
                <c:pt idx="4">
                  <c:v>768386.88723552891</c:v>
                </c:pt>
                <c:pt idx="5">
                  <c:v>829021.49812084704</c:v>
                </c:pt>
                <c:pt idx="6">
                  <c:v>566271.5176178019</c:v>
                </c:pt>
                <c:pt idx="7">
                  <c:v>800795.03781253332</c:v>
                </c:pt>
                <c:pt idx="8">
                  <c:v>275295.07680644299</c:v>
                </c:pt>
                <c:pt idx="9">
                  <c:v>234872.00288289759</c:v>
                </c:pt>
                <c:pt idx="10">
                  <c:v>214660.46592112485</c:v>
                </c:pt>
                <c:pt idx="11">
                  <c:v>214660.46592112485</c:v>
                </c:pt>
                <c:pt idx="12">
                  <c:v>194448.92895935214</c:v>
                </c:pt>
                <c:pt idx="13">
                  <c:v>174237.39199757946</c:v>
                </c:pt>
                <c:pt idx="14">
                  <c:v>174237.39199757946</c:v>
                </c:pt>
                <c:pt idx="15">
                  <c:v>174237.39199757946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0-78C2-4559-BB47-DA25C7B46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'Raspodela budžetskog novca 6,4'!$B$38</c15:sqref>
                        </c15:formulaRef>
                      </c:ext>
                    </c:extLst>
                    <c:strCache>
                      <c:ptCount val="1"/>
                      <c:pt idx="0">
                        <c:v>mandati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6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8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A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C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E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0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2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4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6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8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A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C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E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40-78C2-4559-BB47-DA25C7B4682A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budžetskog novca 6,4'!$B$39:$B$58</c15:sqref>
                        </c15:fullRef>
                        <c15:formulaRef>
                          <c15:sqref>('Raspodela budžetskog novca 6,4'!$B$39:$B$45,'Raspodela budžetskog novca 6,4'!$B$47:$B$54,'Raspodela budžetskog novca 6,4'!$B$58)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38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13</c:v>
                      </c:pt>
                      <c:pt idx="6">
                        <c:v>0</c:v>
                      </c:pt>
                      <c:pt idx="7">
                        <c:v>31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41-78C2-4559-BB47-DA25C7B4682A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6,4'!$C$38</c15:sqref>
                        </c15:formulaRef>
                      </c:ext>
                    </c:extLst>
                    <c:strCache>
                      <c:ptCount val="1"/>
                      <c:pt idx="0">
                        <c:v>prvi deo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61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6,4'!$C$39:$C$58</c15:sqref>
                        </c15:fullRef>
                        <c15:formulaRef>
                          <c15:sqref>('Raspodela budžetskog novca 6,4'!$C$39:$C$45,'Raspodela budžetskog novca 6,4'!$C$47:$C$54,'Raspodela budžetskog novca 6,4'!$C$58)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66627167</c:v>
                      </c:pt>
                      <c:pt idx="1">
                        <c:v>66627167</c:v>
                      </c:pt>
                      <c:pt idx="2">
                        <c:v>66627167</c:v>
                      </c:pt>
                      <c:pt idx="3">
                        <c:v>66627167</c:v>
                      </c:pt>
                      <c:pt idx="4">
                        <c:v>66627167</c:v>
                      </c:pt>
                      <c:pt idx="5">
                        <c:v>66627167</c:v>
                      </c:pt>
                      <c:pt idx="6">
                        <c:v>66627167</c:v>
                      </c:pt>
                      <c:pt idx="7">
                        <c:v>20500667</c:v>
                      </c:pt>
                      <c:pt idx="8">
                        <c:v>20500667</c:v>
                      </c:pt>
                      <c:pt idx="9">
                        <c:v>20500667</c:v>
                      </c:pt>
                      <c:pt idx="10">
                        <c:v>20500667</c:v>
                      </c:pt>
                      <c:pt idx="11">
                        <c:v>20500667</c:v>
                      </c:pt>
                      <c:pt idx="12">
                        <c:v>20500667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62-78C2-4559-BB47-DA25C7B4682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6,4'!$D$38</c15:sqref>
                        </c15:formulaRef>
                      </c:ext>
                    </c:extLst>
                    <c:strCache>
                      <c:ptCount val="1"/>
                      <c:pt idx="0">
                        <c:v>uspeh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82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6,4'!$D$39:$D$58</c15:sqref>
                        </c15:fullRef>
                        <c15:formulaRef>
                          <c15:sqref>('Raspodela budžetskog novca 6,4'!$D$39:$D$45,'Raspodela budžetskog novca 6,4'!$D$47:$D$54,'Raspodela budžetskog novca 6,4'!$D$58)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885013777.44000006</c:v>
                      </c:pt>
                      <c:pt idx="1">
                        <c:v>90366937.855999991</c:v>
                      </c:pt>
                      <c:pt idx="2">
                        <c:v>35671159.68</c:v>
                      </c:pt>
                      <c:pt idx="3">
                        <c:v>23780773.119999997</c:v>
                      </c:pt>
                      <c:pt idx="4">
                        <c:v>23780773.119999997</c:v>
                      </c:pt>
                      <c:pt idx="5">
                        <c:v>30915005.055999998</c:v>
                      </c:pt>
                      <c:pt idx="6">
                        <c:v>0</c:v>
                      </c:pt>
                      <c:pt idx="7">
                        <c:v>73720396.671999991</c:v>
                      </c:pt>
                      <c:pt idx="8">
                        <c:v>11890386.559999999</c:v>
                      </c:pt>
                      <c:pt idx="9">
                        <c:v>7134231.9359999998</c:v>
                      </c:pt>
                      <c:pt idx="10">
                        <c:v>4756154.6239999998</c:v>
                      </c:pt>
                      <c:pt idx="11">
                        <c:v>4756154.6239999998</c:v>
                      </c:pt>
                      <c:pt idx="12">
                        <c:v>2378077.3119999999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83-78C2-4559-BB47-DA25C7B4682A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6,4'!$E$38</c15:sqref>
                        </c15:formulaRef>
                      </c:ext>
                    </c:extLst>
                    <c:strCache>
                      <c:ptCount val="1"/>
                      <c:pt idx="0">
                        <c:v>ukupno budžet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A3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6,4'!$E$39:$E$58</c15:sqref>
                        </c15:fullRef>
                        <c15:formulaRef>
                          <c15:sqref>('Raspodela budžetskog novca 6,4'!$E$39:$E$45,'Raspodela budžetskog novca 6,4'!$E$47:$E$54,'Raspodela budžetskog novca 6,4'!$E$58)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951640944.44000006</c:v>
                      </c:pt>
                      <c:pt idx="1">
                        <c:v>156994104.85600001</c:v>
                      </c:pt>
                      <c:pt idx="2">
                        <c:v>102298326.68000001</c:v>
                      </c:pt>
                      <c:pt idx="3">
                        <c:v>90407940.120000005</c:v>
                      </c:pt>
                      <c:pt idx="4">
                        <c:v>90407940.120000005</c:v>
                      </c:pt>
                      <c:pt idx="5">
                        <c:v>97542172.055999994</c:v>
                      </c:pt>
                      <c:pt idx="6">
                        <c:v>66627167</c:v>
                      </c:pt>
                      <c:pt idx="7">
                        <c:v>94221063.671999991</c:v>
                      </c:pt>
                      <c:pt idx="8">
                        <c:v>32391053.559999999</c:v>
                      </c:pt>
                      <c:pt idx="9">
                        <c:v>27634898.936000001</c:v>
                      </c:pt>
                      <c:pt idx="10">
                        <c:v>25256821.623999998</c:v>
                      </c:pt>
                      <c:pt idx="11">
                        <c:v>25256821.623999998</c:v>
                      </c:pt>
                      <c:pt idx="12">
                        <c:v>22878744.311999999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A4-78C2-4559-BB47-DA25C7B4682A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6,4'!$G$38</c15:sqref>
                        </c15:formulaRef>
                      </c:ext>
                    </c:extLst>
                    <c:strCache>
                      <c:ptCount val="1"/>
                      <c:pt idx="0">
                        <c:v>prijavljeni ostalo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8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A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C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E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0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2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C4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6,4'!$G$39:$G$58</c15:sqref>
                        </c15:fullRef>
                        <c15:formulaRef>
                          <c15:sqref>('Raspodela budžetskog novca 6,4'!$G$39:$G$45,'Raspodela budžetskog novca 6,4'!$G$47:$G$54,'Raspodela budžetskog novca 6,4'!$G$58)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C5-78C2-4559-BB47-DA25C7B4682A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6,4'!$H$38</c15:sqref>
                        </c15:formulaRef>
                      </c:ext>
                    </c:extLst>
                    <c:strCache>
                      <c:ptCount val="1"/>
                      <c:pt idx="0">
                        <c:v>ukupna sredstva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E5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6,4'!$H$39:$H$58</c15:sqref>
                        </c15:fullRef>
                        <c15:formulaRef>
                          <c15:sqref>('Raspodela budžetskog novca 6,4'!$H$39:$H$45,'Raspodela budžetskog novca 6,4'!$H$47:$H$54,'Raspodela budžetskog novca 6,4'!$H$58)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1125640944.4400001</c:v>
                      </c:pt>
                      <c:pt idx="1">
                        <c:v>161116604.85600001</c:v>
                      </c:pt>
                      <c:pt idx="2">
                        <c:v>109534726.68000001</c:v>
                      </c:pt>
                      <c:pt idx="3">
                        <c:v>91848740.120000005</c:v>
                      </c:pt>
                      <c:pt idx="4">
                        <c:v>90407940.120000005</c:v>
                      </c:pt>
                      <c:pt idx="5">
                        <c:v>100306375.05599999</c:v>
                      </c:pt>
                      <c:pt idx="6">
                        <c:v>66627167</c:v>
                      </c:pt>
                      <c:pt idx="7">
                        <c:v>213363863.67199999</c:v>
                      </c:pt>
                      <c:pt idx="8">
                        <c:v>46891053.560000002</c:v>
                      </c:pt>
                      <c:pt idx="9">
                        <c:v>27634898.936000001</c:v>
                      </c:pt>
                      <c:pt idx="10">
                        <c:v>28891821.623999998</c:v>
                      </c:pt>
                      <c:pt idx="11">
                        <c:v>25337821.623999998</c:v>
                      </c:pt>
                      <c:pt idx="12">
                        <c:v>27288744.311999999</c:v>
                      </c:pt>
                      <c:pt idx="13">
                        <c:v>49010667</c:v>
                      </c:pt>
                      <c:pt idx="14">
                        <c:v>23590167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E6-78C2-4559-BB47-DA25C7B4682A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6,4'!$I$38</c15:sqref>
                        </c15:formulaRef>
                      </c:ext>
                    </c:extLst>
                    <c:strCache>
                      <c:ptCount val="1"/>
                      <c:pt idx="0">
                        <c:v>ukupna sredstva EUR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78C2-4559-BB47-DA25C7B468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78C2-4559-BB47-DA25C7B468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78C2-4559-BB47-DA25C7B468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78C2-4559-BB47-DA25C7B468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78C2-4559-BB47-DA25C7B468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2-78C2-4559-BB47-DA25C7B468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4-78C2-4559-BB47-DA25C7B4682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6-78C2-4559-BB47-DA25C7B4682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8-78C2-4559-BB47-DA25C7B4682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A-78C2-4559-BB47-DA25C7B4682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C-78C2-4559-BB47-DA25C7B4682A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78C2-4559-BB47-DA25C7B4682A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78C2-4559-BB47-DA25C7B4682A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78C2-4559-BB47-DA25C7B4682A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78C2-4559-BB47-DA25C7B4682A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106-78C2-4559-BB47-DA25C7B4682A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6,4'!$I$39:$I$58</c15:sqref>
                        </c15:fullRef>
                        <c15:formulaRef>
                          <c15:sqref>('Raspodela budžetskog novca 6,4'!$I$39:$I$45,'Raspodela budžetskog novca 6,4'!$I$47:$I$54,'Raspodela budžetskog novca 6,4'!$I$58)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9566944.4552666433</c:v>
                      </c:pt>
                      <c:pt idx="1">
                        <c:v>1369347.4967235937</c:v>
                      </c:pt>
                      <c:pt idx="2">
                        <c:v>930947.52038511157</c:v>
                      </c:pt>
                      <c:pt idx="3">
                        <c:v>780632.40268095874</c:v>
                      </c:pt>
                      <c:pt idx="4">
                        <c:v>768386.88723552891</c:v>
                      </c:pt>
                      <c:pt idx="5">
                        <c:v>852514.75917776208</c:v>
                      </c:pt>
                      <c:pt idx="6">
                        <c:v>566271.5176178019</c:v>
                      </c:pt>
                      <c:pt idx="7">
                        <c:v>1813402.6152776573</c:v>
                      </c:pt>
                      <c:pt idx="8">
                        <c:v>398532.14923754497</c:v>
                      </c:pt>
                      <c:pt idx="9">
                        <c:v>234872.00288289759</c:v>
                      </c:pt>
                      <c:pt idx="10">
                        <c:v>245554.72511333559</c:v>
                      </c:pt>
                      <c:pt idx="11">
                        <c:v>215348.89370505032</c:v>
                      </c:pt>
                      <c:pt idx="12">
                        <c:v>231929.99719529419</c:v>
                      </c:pt>
                      <c:pt idx="13">
                        <c:v>416546.97372245649</c:v>
                      </c:pt>
                      <c:pt idx="14">
                        <c:v>200495.38753384768</c:v>
                      </c:pt>
                      <c:pt idx="15">
                        <c:v>174237.39199757946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107-78C2-4559-BB47-DA25C7B4682A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učešće</a:t>
            </a:r>
            <a:r>
              <a:rPr lang="sr-Latn-RS" baseline="0"/>
              <a:t> u do sada poznatim prihodima kampanje republički izbori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724637681159419E-2"/>
          <c:y val="0.39324660990936611"/>
          <c:w val="0.94371980676328504"/>
          <c:h val="0.44663481036818559"/>
        </c:manualLayout>
      </c:layout>
      <c:pie3DChart>
        <c:varyColors val="1"/>
        <c:ser>
          <c:idx val="7"/>
          <c:order val="7"/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3B-4986-8BA8-E39D2707E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3B-4986-8BA8-E39D2707E3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03B-4986-8BA8-E39D2707E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03B-4986-8BA8-E39D2707E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03B-4986-8BA8-E39D2707E3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03B-4986-8BA8-E39D2707E3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03B-4986-8BA8-E39D2707E3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03B-4986-8BA8-E39D2707E3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03B-4986-8BA8-E39D2707E3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03B-4986-8BA8-E39D2707E36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03B-4986-8BA8-E39D2707E36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03B-4986-8BA8-E39D2707E36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03B-4986-8BA8-E39D2707E36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03B-4986-8BA8-E39D2707E36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03B-4986-8BA8-E39D2707E36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03B-4986-8BA8-E39D2707E366}"/>
              </c:ext>
            </c:extLst>
          </c:dPt>
          <c:dLbls>
            <c:dLbl>
              <c:idx val="0"/>
              <c:layout>
                <c:manualLayout>
                  <c:x val="-2.2509651889844044E-2"/>
                  <c:y val="-0.18948852349931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3B-4986-8BA8-E39D2707E366}"/>
                </c:ext>
              </c:extLst>
            </c:dLbl>
            <c:dLbl>
              <c:idx val="7"/>
              <c:layout>
                <c:manualLayout>
                  <c:x val="-6.0100331495260374E-2"/>
                  <c:y val="-2.3278867013886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3B-4986-8BA8-E39D2707E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budžetskog novca 6,4'!$A$39:$A$58</c15:sqref>
                  </c15:fullRef>
                </c:ext>
              </c:extLst>
              <c:f>('Raspodela budžetskog novca 6,4'!$A$39:$A$45,'Raspodela budžetskog novca 6,4'!$A$47:$A$54,'Raspodela budžetskog novca 6,4'!$A$58)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budžetskog novca 6,4'!$I$39:$I$58</c15:sqref>
                  </c15:fullRef>
                </c:ext>
              </c:extLst>
              <c:f>('Raspodela budžetskog novca 6,4'!$I$39:$I$45,'Raspodela budžetskog novca 6,4'!$I$47:$I$54,'Raspodela budžetskog novca 6,4'!$I$58)</c:f>
              <c:numCache>
                <c:formatCode>#,##0</c:formatCode>
                <c:ptCount val="16"/>
                <c:pt idx="0">
                  <c:v>9566944.4552666433</c:v>
                </c:pt>
                <c:pt idx="1">
                  <c:v>1369347.4967235937</c:v>
                </c:pt>
                <c:pt idx="2">
                  <c:v>930947.52038511157</c:v>
                </c:pt>
                <c:pt idx="3">
                  <c:v>780632.40268095874</c:v>
                </c:pt>
                <c:pt idx="4">
                  <c:v>768386.88723552891</c:v>
                </c:pt>
                <c:pt idx="5">
                  <c:v>852514.75917776208</c:v>
                </c:pt>
                <c:pt idx="6">
                  <c:v>566271.5176178019</c:v>
                </c:pt>
                <c:pt idx="7">
                  <c:v>1813402.6152776573</c:v>
                </c:pt>
                <c:pt idx="8">
                  <c:v>398532.14923754497</c:v>
                </c:pt>
                <c:pt idx="9">
                  <c:v>234872.00288289759</c:v>
                </c:pt>
                <c:pt idx="10">
                  <c:v>245554.72511333559</c:v>
                </c:pt>
                <c:pt idx="11">
                  <c:v>215348.89370505032</c:v>
                </c:pt>
                <c:pt idx="12">
                  <c:v>231929.99719529419</c:v>
                </c:pt>
                <c:pt idx="13">
                  <c:v>416546.97372245649</c:v>
                </c:pt>
                <c:pt idx="14">
                  <c:v>200495.38753384768</c:v>
                </c:pt>
                <c:pt idx="15">
                  <c:v>174237.39199757946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0-B03B-4986-8BA8-E39D2707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6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8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A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C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E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0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2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4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6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8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A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C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E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40-B03B-4986-8BA8-E39D2707E366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budžetskog novca 6,4'!$B$39:$B$58</c15:sqref>
                        </c15:fullRef>
                        <c15:formulaRef>
                          <c15:sqref>('Raspodela budžetskog novca 6,4'!$B$39:$B$45,'Raspodela budžetskog novca 6,4'!$B$47:$B$54,'Raspodela budžetskog novca 6,4'!$B$58)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38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13</c:v>
                      </c:pt>
                      <c:pt idx="6">
                        <c:v>0</c:v>
                      </c:pt>
                      <c:pt idx="7">
                        <c:v>31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41-B03B-4986-8BA8-E39D2707E366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61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6,4'!$C$39:$C$58</c15:sqref>
                        </c15:fullRef>
                        <c15:formulaRef>
                          <c15:sqref>('Raspodela budžetskog novca 6,4'!$C$39:$C$45,'Raspodela budžetskog novca 6,4'!$C$47:$C$54,'Raspodela budžetskog novca 6,4'!$C$58)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66627167</c:v>
                      </c:pt>
                      <c:pt idx="1">
                        <c:v>66627167</c:v>
                      </c:pt>
                      <c:pt idx="2">
                        <c:v>66627167</c:v>
                      </c:pt>
                      <c:pt idx="3">
                        <c:v>66627167</c:v>
                      </c:pt>
                      <c:pt idx="4">
                        <c:v>66627167</c:v>
                      </c:pt>
                      <c:pt idx="5">
                        <c:v>66627167</c:v>
                      </c:pt>
                      <c:pt idx="6">
                        <c:v>66627167</c:v>
                      </c:pt>
                      <c:pt idx="7">
                        <c:v>20500667</c:v>
                      </c:pt>
                      <c:pt idx="8">
                        <c:v>20500667</c:v>
                      </c:pt>
                      <c:pt idx="9">
                        <c:v>20500667</c:v>
                      </c:pt>
                      <c:pt idx="10">
                        <c:v>20500667</c:v>
                      </c:pt>
                      <c:pt idx="11">
                        <c:v>20500667</c:v>
                      </c:pt>
                      <c:pt idx="12">
                        <c:v>20500667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62-B03B-4986-8BA8-E39D2707E366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82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6,4'!$D$39:$D$58</c15:sqref>
                        </c15:fullRef>
                        <c15:formulaRef>
                          <c15:sqref>('Raspodela budžetskog novca 6,4'!$D$39:$D$45,'Raspodela budžetskog novca 6,4'!$D$47:$D$54,'Raspodela budžetskog novca 6,4'!$D$58)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885013777.44000006</c:v>
                      </c:pt>
                      <c:pt idx="1">
                        <c:v>90366937.855999991</c:v>
                      </c:pt>
                      <c:pt idx="2">
                        <c:v>35671159.68</c:v>
                      </c:pt>
                      <c:pt idx="3">
                        <c:v>23780773.119999997</c:v>
                      </c:pt>
                      <c:pt idx="4">
                        <c:v>23780773.119999997</c:v>
                      </c:pt>
                      <c:pt idx="5">
                        <c:v>30915005.055999998</c:v>
                      </c:pt>
                      <c:pt idx="6">
                        <c:v>0</c:v>
                      </c:pt>
                      <c:pt idx="7">
                        <c:v>73720396.671999991</c:v>
                      </c:pt>
                      <c:pt idx="8">
                        <c:v>11890386.559999999</c:v>
                      </c:pt>
                      <c:pt idx="9">
                        <c:v>7134231.9359999998</c:v>
                      </c:pt>
                      <c:pt idx="10">
                        <c:v>4756154.6239999998</c:v>
                      </c:pt>
                      <c:pt idx="11">
                        <c:v>4756154.6239999998</c:v>
                      </c:pt>
                      <c:pt idx="12">
                        <c:v>2378077.3119999999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83-B03B-4986-8BA8-E39D2707E366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A3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6,4'!$E$39:$E$58</c15:sqref>
                        </c15:fullRef>
                        <c15:formulaRef>
                          <c15:sqref>('Raspodela budžetskog novca 6,4'!$E$39:$E$45,'Raspodela budžetskog novca 6,4'!$E$47:$E$54,'Raspodela budžetskog novca 6,4'!$E$58)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951640944.44000006</c:v>
                      </c:pt>
                      <c:pt idx="1">
                        <c:v>156994104.85600001</c:v>
                      </c:pt>
                      <c:pt idx="2">
                        <c:v>102298326.68000001</c:v>
                      </c:pt>
                      <c:pt idx="3">
                        <c:v>90407940.120000005</c:v>
                      </c:pt>
                      <c:pt idx="4">
                        <c:v>90407940.120000005</c:v>
                      </c:pt>
                      <c:pt idx="5">
                        <c:v>97542172.055999994</c:v>
                      </c:pt>
                      <c:pt idx="6">
                        <c:v>66627167</c:v>
                      </c:pt>
                      <c:pt idx="7">
                        <c:v>94221063.671999991</c:v>
                      </c:pt>
                      <c:pt idx="8">
                        <c:v>32391053.559999999</c:v>
                      </c:pt>
                      <c:pt idx="9">
                        <c:v>27634898.936000001</c:v>
                      </c:pt>
                      <c:pt idx="10">
                        <c:v>25256821.623999998</c:v>
                      </c:pt>
                      <c:pt idx="11">
                        <c:v>25256821.623999998</c:v>
                      </c:pt>
                      <c:pt idx="12">
                        <c:v>22878744.311999999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A4-B03B-4986-8BA8-E39D2707E366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8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A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C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E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0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2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C4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6,4'!$F$39:$F$58</c15:sqref>
                        </c15:fullRef>
                        <c15:formulaRef>
                          <c15:sqref>('Raspodela budžetskog novca 6,4'!$F$39:$F$45,'Raspodela budžetskog novca 6,4'!$F$47:$F$54,'Raspodela budžetskog novca 6,4'!$F$58)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8088099.5860934183</c:v>
                      </c:pt>
                      <c:pt idx="1">
                        <c:v>1334309.9221651647</c:v>
                      </c:pt>
                      <c:pt idx="2">
                        <c:v>869444.57204439258</c:v>
                      </c:pt>
                      <c:pt idx="3">
                        <c:v>768386.88723552891</c:v>
                      </c:pt>
                      <c:pt idx="4">
                        <c:v>768386.88723552891</c:v>
                      </c:pt>
                      <c:pt idx="5">
                        <c:v>829021.49812084704</c:v>
                      </c:pt>
                      <c:pt idx="6">
                        <c:v>566271.5176178019</c:v>
                      </c:pt>
                      <c:pt idx="7">
                        <c:v>800795.03781253332</c:v>
                      </c:pt>
                      <c:pt idx="8">
                        <c:v>275295.07680644299</c:v>
                      </c:pt>
                      <c:pt idx="9">
                        <c:v>234872.00288289759</c:v>
                      </c:pt>
                      <c:pt idx="10">
                        <c:v>214660.46592112485</c:v>
                      </c:pt>
                      <c:pt idx="11">
                        <c:v>214660.46592112485</c:v>
                      </c:pt>
                      <c:pt idx="12">
                        <c:v>194448.92895935214</c:v>
                      </c:pt>
                      <c:pt idx="13">
                        <c:v>174237.39199757946</c:v>
                      </c:pt>
                      <c:pt idx="14">
                        <c:v>174237.39199757946</c:v>
                      </c:pt>
                      <c:pt idx="15">
                        <c:v>174237.39199757946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C5-B03B-4986-8BA8-E39D2707E366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E5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6,4'!$G$39:$G$58</c15:sqref>
                        </c15:fullRef>
                        <c15:formulaRef>
                          <c15:sqref>('Raspodela budžetskog novca 6,4'!$G$39:$G$45,'Raspodela budžetskog novca 6,4'!$G$47:$G$54,'Raspodela budžetskog novca 6,4'!$G$58)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E6-B03B-4986-8BA8-E39D2707E366}"/>
                  </c:ext>
                </c:extLst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B03B-4986-8BA8-E39D2707E3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B03B-4986-8BA8-E39D2707E3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B03B-4986-8BA8-E39D2707E3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B03B-4986-8BA8-E39D2707E3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B03B-4986-8BA8-E39D2707E36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2-B03B-4986-8BA8-E39D2707E36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4-B03B-4986-8BA8-E39D2707E36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6-B03B-4986-8BA8-E39D2707E36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8-B03B-4986-8BA8-E39D2707E36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A-B03B-4986-8BA8-E39D2707E36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C-B03B-4986-8BA8-E39D2707E36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B03B-4986-8BA8-E39D2707E36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B03B-4986-8BA8-E39D2707E36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B03B-4986-8BA8-E39D2707E36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B03B-4986-8BA8-E39D2707E36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106-B03B-4986-8BA8-E39D2707E36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6,4'!$A$39:$A$58</c15:sqref>
                        </c15:fullRef>
                        <c15:formulaRef>
                          <c15:sqref>('Raspodela budžetskog novca 6,4'!$A$39:$A$45,'Raspodela budžetskog novca 6,4'!$A$47:$A$54,'Raspodela budžetskog novca 6,4'!$A$58)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6,4'!$H$39:$H$58</c15:sqref>
                        </c15:fullRef>
                        <c15:formulaRef>
                          <c15:sqref>('Raspodela budžetskog novca 6,4'!$H$39:$H$45,'Raspodela budžetskog novca 6,4'!$H$47:$H$54,'Raspodela budžetskog novca 6,4'!$H$58)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1125640944.4400001</c:v>
                      </c:pt>
                      <c:pt idx="1">
                        <c:v>161116604.85600001</c:v>
                      </c:pt>
                      <c:pt idx="2">
                        <c:v>109534726.68000001</c:v>
                      </c:pt>
                      <c:pt idx="3">
                        <c:v>91848740.120000005</c:v>
                      </c:pt>
                      <c:pt idx="4">
                        <c:v>90407940.120000005</c:v>
                      </c:pt>
                      <c:pt idx="5">
                        <c:v>100306375.05599999</c:v>
                      </c:pt>
                      <c:pt idx="6">
                        <c:v>66627167</c:v>
                      </c:pt>
                      <c:pt idx="7">
                        <c:v>213363863.67199999</c:v>
                      </c:pt>
                      <c:pt idx="8">
                        <c:v>46891053.560000002</c:v>
                      </c:pt>
                      <c:pt idx="9">
                        <c:v>27634898.936000001</c:v>
                      </c:pt>
                      <c:pt idx="10">
                        <c:v>28891821.623999998</c:v>
                      </c:pt>
                      <c:pt idx="11">
                        <c:v>25337821.623999998</c:v>
                      </c:pt>
                      <c:pt idx="12">
                        <c:v>27288744.311999999</c:v>
                      </c:pt>
                      <c:pt idx="13">
                        <c:v>49010667</c:v>
                      </c:pt>
                      <c:pt idx="14">
                        <c:v>23590167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107-B03B-4986-8BA8-E39D2707E36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raspodela</a:t>
            </a:r>
            <a:r>
              <a:rPr lang="sr-Latn-RS" baseline="0"/>
              <a:t> novca iz </a:t>
            </a:r>
            <a:r>
              <a:rPr lang="en-US"/>
              <a:t>budžet</a:t>
            </a:r>
            <a:r>
              <a:rPr lang="sr-Latn-RS"/>
              <a:t>a republički</a:t>
            </a:r>
            <a:r>
              <a:rPr lang="sr-Latn-RS" baseline="0"/>
              <a:t> izbori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'raspodela po starom zakonu'!$F$38</c:f>
              <c:strCache>
                <c:ptCount val="1"/>
                <c:pt idx="0">
                  <c:v>ukupno budžet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81-47BE-84F6-FB8372F9C1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81-47BE-84F6-FB8372F9C1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81-47BE-84F6-FB8372F9C1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81-47BE-84F6-FB8372F9C1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81-47BE-84F6-FB8372F9C1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B81-47BE-84F6-FB8372F9C1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B81-47BE-84F6-FB8372F9C1B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B81-47BE-84F6-FB8372F9C1B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B81-47BE-84F6-FB8372F9C1B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B81-47BE-84F6-FB8372F9C1B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B81-47BE-84F6-FB8372F9C1B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B81-47BE-84F6-FB8372F9C1B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B81-47BE-84F6-FB8372F9C1B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B81-47BE-84F6-FB8372F9C1B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B81-47BE-84F6-FB8372F9C1B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B81-47BE-84F6-FB8372F9C1B6}"/>
              </c:ext>
            </c:extLst>
          </c:dPt>
          <c:dLbls>
            <c:dLbl>
              <c:idx val="0"/>
              <c:layout>
                <c:manualLayout>
                  <c:x val="-4.7480838662772785E-2"/>
                  <c:y val="-0.24440960990348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1-47BE-84F6-FB8372F9C1B6}"/>
                </c:ext>
              </c:extLst>
            </c:dLbl>
            <c:dLbl>
              <c:idx val="7"/>
              <c:layout>
                <c:manualLayout>
                  <c:x val="-1.4456489593730362E-3"/>
                  <c:y val="-2.37031936025258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1-47BE-84F6-FB8372F9C1B6}"/>
                </c:ext>
              </c:extLst>
            </c:dLbl>
            <c:dLbl>
              <c:idx val="8"/>
              <c:layout>
                <c:manualLayout>
                  <c:x val="-1.5349555777358815E-2"/>
                  <c:y val="-3.7188792137461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1-47BE-84F6-FB8372F9C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po starom zakonu'!$A$39:$A$58</c15:sqref>
                  </c15:fullRef>
                </c:ext>
              </c:extLst>
              <c:f>('raspodela po starom zakonu'!$A$39:$A$45,'raspodela po starom zakonu'!$A$47:$A$54,'raspodela po starom zakonu'!$A$58)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po starom zakonu'!$F$39:$F$58</c15:sqref>
                  </c15:fullRef>
                </c:ext>
              </c:extLst>
              <c:f>('raspodela po starom zakonu'!$F$39:$F$45,'raspodela po starom zakonu'!$F$47:$F$54,'raspodela po starom zakonu'!$F$58)</c:f>
              <c:numCache>
                <c:formatCode>#,##0</c:formatCode>
                <c:ptCount val="16"/>
                <c:pt idx="0">
                  <c:v>8082001.2542984234</c:v>
                </c:pt>
                <c:pt idx="1">
                  <c:v>1557072.4159055715</c:v>
                </c:pt>
                <c:pt idx="2">
                  <c:v>963968.35152992443</c:v>
                </c:pt>
                <c:pt idx="3">
                  <c:v>835032.68536130548</c:v>
                </c:pt>
                <c:pt idx="4">
                  <c:v>835032.68536130548</c:v>
                </c:pt>
                <c:pt idx="5">
                  <c:v>912394.08506247681</c:v>
                </c:pt>
                <c:pt idx="6">
                  <c:v>577161.35302406771</c:v>
                </c:pt>
                <c:pt idx="7">
                  <c:v>886519.82624422689</c:v>
                </c:pt>
                <c:pt idx="8">
                  <c:v>216054.3621674086</c:v>
                </c:pt>
                <c:pt idx="9">
                  <c:v>164480.09569996106</c:v>
                </c:pt>
                <c:pt idx="10">
                  <c:v>138692.96246623728</c:v>
                </c:pt>
                <c:pt idx="11">
                  <c:v>138692.96246623728</c:v>
                </c:pt>
                <c:pt idx="12">
                  <c:v>112905.8292325135</c:v>
                </c:pt>
                <c:pt idx="13">
                  <c:v>87118.695998789728</c:v>
                </c:pt>
                <c:pt idx="14">
                  <c:v>87118.695998789728</c:v>
                </c:pt>
                <c:pt idx="15">
                  <c:v>87118.695998789728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0-CB81-47BE-84F6-FB8372F9C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'raspodela po starom zakonu'!$B$38</c15:sqref>
                        </c15:formulaRef>
                      </c:ext>
                    </c:extLst>
                    <c:strCache>
                      <c:ptCount val="1"/>
                      <c:pt idx="0">
                        <c:v>mandati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6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8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A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C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E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0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2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4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6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8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A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C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E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40-CB81-47BE-84F6-FB8372F9C1B6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po starom zakonu'!$B$39:$B$58</c15:sqref>
                        </c15:fullRef>
                        <c15:formulaRef>
                          <c15:sqref>('raspodela po starom zakonu'!$B$39:$B$45,'raspodela po starom zakonu'!$B$47:$B$54,'raspodela po starom zakonu'!$B$58)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38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13</c:v>
                      </c:pt>
                      <c:pt idx="6">
                        <c:v>0</c:v>
                      </c:pt>
                      <c:pt idx="7">
                        <c:v>31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41-CB81-47BE-84F6-FB8372F9C1B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zakonu'!$C$38</c15:sqref>
                        </c15:formulaRef>
                      </c:ext>
                    </c:extLst>
                    <c:strCache>
                      <c:ptCount val="1"/>
                      <c:pt idx="0">
                        <c:v>prvi deo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61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zakonu'!$C$39:$C$58</c15:sqref>
                        </c15:fullRef>
                        <c15:formulaRef>
                          <c15:sqref>('raspodela po starom zakonu'!$C$39:$C$45,'raspodela po starom zakonu'!$C$47:$C$54,'raspodela po starom zakonu'!$C$58)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67908458.5</c:v>
                      </c:pt>
                      <c:pt idx="1">
                        <c:v>67908458.5</c:v>
                      </c:pt>
                      <c:pt idx="2">
                        <c:v>67908458.5</c:v>
                      </c:pt>
                      <c:pt idx="3">
                        <c:v>67908458.5</c:v>
                      </c:pt>
                      <c:pt idx="4">
                        <c:v>67908458.5</c:v>
                      </c:pt>
                      <c:pt idx="5">
                        <c:v>67908458.5</c:v>
                      </c:pt>
                      <c:pt idx="6">
                        <c:v>67908458.5</c:v>
                      </c:pt>
                      <c:pt idx="7">
                        <c:v>10250333.5</c:v>
                      </c:pt>
                      <c:pt idx="8">
                        <c:v>10250333.5</c:v>
                      </c:pt>
                      <c:pt idx="9">
                        <c:v>10250333.5</c:v>
                      </c:pt>
                      <c:pt idx="10">
                        <c:v>10250333.5</c:v>
                      </c:pt>
                      <c:pt idx="11">
                        <c:v>10250333.5</c:v>
                      </c:pt>
                      <c:pt idx="12">
                        <c:v>10250333.5</c:v>
                      </c:pt>
                      <c:pt idx="13">
                        <c:v>10250333.5</c:v>
                      </c:pt>
                      <c:pt idx="14">
                        <c:v>10250333.5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62-CB81-47BE-84F6-FB8372F9C1B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zakonu'!$D$38</c15:sqref>
                        </c15:formulaRef>
                      </c:ext>
                    </c:extLst>
                    <c:strCache>
                      <c:ptCount val="1"/>
                      <c:pt idx="0">
                        <c:v>uspeh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82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zakonu'!$D$39:$D$58</c15:sqref>
                        </c15:fullRef>
                        <c15:formulaRef>
                          <c15:sqref>('raspodela po starom zakonu'!$D$39:$D$45,'raspodela po starom zakonu'!$D$47:$D$54,'raspodela po starom zakonu'!$D$58)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883014959.88</c:v>
                      </c:pt>
                      <c:pt idx="1">
                        <c:v>115295747.712</c:v>
                      </c:pt>
                      <c:pt idx="2">
                        <c:v>45511479.359999999</c:v>
                      </c:pt>
                      <c:pt idx="3">
                        <c:v>30340986.239999998</c:v>
                      </c:pt>
                      <c:pt idx="4">
                        <c:v>30340986.239999998</c:v>
                      </c:pt>
                      <c:pt idx="5">
                        <c:v>39443282.111999996</c:v>
                      </c:pt>
                      <c:pt idx="6">
                        <c:v>0</c:v>
                      </c:pt>
                      <c:pt idx="7">
                        <c:v>94057057.343999997</c:v>
                      </c:pt>
                      <c:pt idx="8">
                        <c:v>15170493.119999999</c:v>
                      </c:pt>
                      <c:pt idx="9">
                        <c:v>9102295.8719999995</c:v>
                      </c:pt>
                      <c:pt idx="10">
                        <c:v>6068197.2479999997</c:v>
                      </c:pt>
                      <c:pt idx="11">
                        <c:v>6068197.2479999997</c:v>
                      </c:pt>
                      <c:pt idx="12">
                        <c:v>3034098.6239999998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83-CB81-47BE-84F6-FB8372F9C1B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zakonu'!$E$38</c15:sqref>
                        </c15:formulaRef>
                      </c:ext>
                    </c:extLst>
                    <c:strCache>
                      <c:ptCount val="1"/>
                      <c:pt idx="0">
                        <c:v>ukupno budžet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A3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zakonu'!$E$39:$E$58</c15:sqref>
                        </c15:fullRef>
                        <c15:formulaRef>
                          <c15:sqref>('raspodela po starom zakonu'!$E$39:$E$45,'raspodela po starom zakonu'!$E$47:$E$54,'raspodela po starom zakonu'!$E$58)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950923418.38</c:v>
                      </c:pt>
                      <c:pt idx="1">
                        <c:v>183204206.21200001</c:v>
                      </c:pt>
                      <c:pt idx="2">
                        <c:v>113419937.86</c:v>
                      </c:pt>
                      <c:pt idx="3">
                        <c:v>98249444.739999995</c:v>
                      </c:pt>
                      <c:pt idx="4">
                        <c:v>98249444.739999995</c:v>
                      </c:pt>
                      <c:pt idx="5">
                        <c:v>107351740.61199999</c:v>
                      </c:pt>
                      <c:pt idx="6">
                        <c:v>67908458.5</c:v>
                      </c:pt>
                      <c:pt idx="7">
                        <c:v>104307390.844</c:v>
                      </c:pt>
                      <c:pt idx="8">
                        <c:v>25420826.619999997</c:v>
                      </c:pt>
                      <c:pt idx="9">
                        <c:v>19352629.372000001</c:v>
                      </c:pt>
                      <c:pt idx="10">
                        <c:v>16318530.748</c:v>
                      </c:pt>
                      <c:pt idx="11">
                        <c:v>16318530.748</c:v>
                      </c:pt>
                      <c:pt idx="12">
                        <c:v>13284432.124</c:v>
                      </c:pt>
                      <c:pt idx="13">
                        <c:v>10250333.5</c:v>
                      </c:pt>
                      <c:pt idx="14">
                        <c:v>10250333.5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A4-CB81-47BE-84F6-FB8372F9C1B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zakonu'!$G$38</c15:sqref>
                        </c15:formulaRef>
                      </c:ext>
                    </c:extLst>
                    <c:strCache>
                      <c:ptCount val="1"/>
                      <c:pt idx="0">
                        <c:v>prijavljeni ostalo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8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A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C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E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0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2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C4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zakonu'!$G$39:$G$58</c15:sqref>
                        </c15:fullRef>
                        <c15:formulaRef>
                          <c15:sqref>('raspodela po starom zakonu'!$G$39:$G$45,'raspodela po starom zakonu'!$G$47:$G$54,'raspodela po starom zakonu'!$G$58)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C5-CB81-47BE-84F6-FB8372F9C1B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zakonu'!$H$38</c15:sqref>
                        </c15:formulaRef>
                      </c:ext>
                    </c:extLst>
                    <c:strCache>
                      <c:ptCount val="1"/>
                      <c:pt idx="0">
                        <c:v>ukupna sredstva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E5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zakonu'!$H$39:$H$58</c15:sqref>
                        </c15:fullRef>
                        <c15:formulaRef>
                          <c15:sqref>('raspodela po starom zakonu'!$H$39:$H$45,'raspodela po starom zakonu'!$H$47:$H$54,'raspodela po starom zakonu'!$H$58)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1124923418.3800001</c:v>
                      </c:pt>
                      <c:pt idx="1">
                        <c:v>187326706.21200001</c:v>
                      </c:pt>
                      <c:pt idx="2">
                        <c:v>120656337.86</c:v>
                      </c:pt>
                      <c:pt idx="3">
                        <c:v>99690244.739999995</c:v>
                      </c:pt>
                      <c:pt idx="4">
                        <c:v>98249444.739999995</c:v>
                      </c:pt>
                      <c:pt idx="5">
                        <c:v>110115943.61199999</c:v>
                      </c:pt>
                      <c:pt idx="6">
                        <c:v>67908458.5</c:v>
                      </c:pt>
                      <c:pt idx="7">
                        <c:v>223450190.84399998</c:v>
                      </c:pt>
                      <c:pt idx="8">
                        <c:v>39920826.619999997</c:v>
                      </c:pt>
                      <c:pt idx="9">
                        <c:v>19352629.372000001</c:v>
                      </c:pt>
                      <c:pt idx="10">
                        <c:v>19953530.748</c:v>
                      </c:pt>
                      <c:pt idx="11">
                        <c:v>16399530.748</c:v>
                      </c:pt>
                      <c:pt idx="12">
                        <c:v>17694432.123999998</c:v>
                      </c:pt>
                      <c:pt idx="13">
                        <c:v>38760333.5</c:v>
                      </c:pt>
                      <c:pt idx="14">
                        <c:v>13339833.5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E6-CB81-47BE-84F6-FB8372F9C1B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po starom zakonu'!$I$38</c15:sqref>
                        </c15:formulaRef>
                      </c:ext>
                    </c:extLst>
                    <c:strCache>
                      <c:ptCount val="1"/>
                      <c:pt idx="0">
                        <c:v>ukupna sredstva EUR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CB81-47BE-84F6-FB8372F9C1B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CB81-47BE-84F6-FB8372F9C1B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CB81-47BE-84F6-FB8372F9C1B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CB81-47BE-84F6-FB8372F9C1B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CB81-47BE-84F6-FB8372F9C1B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2-CB81-47BE-84F6-FB8372F9C1B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4-CB81-47BE-84F6-FB8372F9C1B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6-CB81-47BE-84F6-FB8372F9C1B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8-CB81-47BE-84F6-FB8372F9C1B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A-CB81-47BE-84F6-FB8372F9C1B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C-CB81-47BE-84F6-FB8372F9C1B6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CB81-47BE-84F6-FB8372F9C1B6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CB81-47BE-84F6-FB8372F9C1B6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CB81-47BE-84F6-FB8372F9C1B6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CB81-47BE-84F6-FB8372F9C1B6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106-CB81-47BE-84F6-FB8372F9C1B6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zakonu'!$I$39:$I$58</c15:sqref>
                        </c15:fullRef>
                        <c15:formulaRef>
                          <c15:sqref>('raspodela po starom zakonu'!$I$39:$I$45,'raspodela po starom zakonu'!$I$47:$I$54,'raspodela po starom zakonu'!$I$58)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9560846.1234716475</c:v>
                      </c:pt>
                      <c:pt idx="1">
                        <c:v>1592109.9904640003</c:v>
                      </c:pt>
                      <c:pt idx="2">
                        <c:v>1025471.2998706435</c:v>
                      </c:pt>
                      <c:pt idx="3">
                        <c:v>847278.20080673532</c:v>
                      </c:pt>
                      <c:pt idx="4">
                        <c:v>835032.68536130548</c:v>
                      </c:pt>
                      <c:pt idx="5">
                        <c:v>935887.34611939196</c:v>
                      </c:pt>
                      <c:pt idx="6">
                        <c:v>577161.35302406771</c:v>
                      </c:pt>
                      <c:pt idx="7">
                        <c:v>1899127.4037093506</c:v>
                      </c:pt>
                      <c:pt idx="8">
                        <c:v>339291.43459851056</c:v>
                      </c:pt>
                      <c:pt idx="9">
                        <c:v>164480.09569996106</c:v>
                      </c:pt>
                      <c:pt idx="10">
                        <c:v>169587.22165844802</c:v>
                      </c:pt>
                      <c:pt idx="11">
                        <c:v>139381.39025016275</c:v>
                      </c:pt>
                      <c:pt idx="12">
                        <c:v>150386.89746845554</c:v>
                      </c:pt>
                      <c:pt idx="13">
                        <c:v>329428.27772366675</c:v>
                      </c:pt>
                      <c:pt idx="14">
                        <c:v>113376.69153505797</c:v>
                      </c:pt>
                      <c:pt idx="15">
                        <c:v>87118.695998789728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107-CB81-47BE-84F6-FB8372F9C1B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učešće</a:t>
            </a:r>
            <a:r>
              <a:rPr lang="sr-Latn-RS" baseline="0"/>
              <a:t> u do sada poznatim prihodima kampanje republički izbori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724637681159419E-2"/>
          <c:y val="0.39324660990936611"/>
          <c:w val="0.94371980676328504"/>
          <c:h val="0.44663481036818559"/>
        </c:manualLayout>
      </c:layout>
      <c:pie3DChart>
        <c:varyColors val="1"/>
        <c:ser>
          <c:idx val="7"/>
          <c:order val="7"/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AF-40EC-ABD8-C6C46B303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AF-40EC-ABD8-C6C46B3032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AF-40EC-ABD8-C6C46B3032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AF-40EC-ABD8-C6C46B3032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EAF-40EC-ABD8-C6C46B3032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EAF-40EC-ABD8-C6C46B3032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EAF-40EC-ABD8-C6C46B3032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EAF-40EC-ABD8-C6C46B3032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EAF-40EC-ABD8-C6C46B3032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EAF-40EC-ABD8-C6C46B3032F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FEAF-40EC-ABD8-C6C46B3032F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FEAF-40EC-ABD8-C6C46B3032F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FEAF-40EC-ABD8-C6C46B3032F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FEAF-40EC-ABD8-C6C46B3032F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FEAF-40EC-ABD8-C6C46B3032F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FEAF-40EC-ABD8-C6C46B3032F9}"/>
              </c:ext>
            </c:extLst>
          </c:dPt>
          <c:dLbls>
            <c:dLbl>
              <c:idx val="0"/>
              <c:layout>
                <c:manualLayout>
                  <c:x val="-2.2509651889844044E-2"/>
                  <c:y val="-0.18948852349931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F-40EC-ABD8-C6C46B3032F9}"/>
                </c:ext>
              </c:extLst>
            </c:dLbl>
            <c:dLbl>
              <c:idx val="7"/>
              <c:layout>
                <c:manualLayout>
                  <c:x val="-6.0100331495260374E-2"/>
                  <c:y val="-2.3278867013886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AF-40EC-ABD8-C6C46B303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po starom zakonu'!$A$39:$A$58</c15:sqref>
                  </c15:fullRef>
                </c:ext>
              </c:extLst>
              <c:f>('raspodela po starom zakonu'!$A$39:$A$45,'raspodela po starom zakonu'!$A$47:$A$54,'raspodela po starom zakonu'!$A$58)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po starom zakonu'!$I$39:$I$58</c15:sqref>
                  </c15:fullRef>
                </c:ext>
              </c:extLst>
              <c:f>('raspodela po starom zakonu'!$I$39:$I$45,'raspodela po starom zakonu'!$I$47:$I$54,'raspodela po starom zakonu'!$I$58)</c:f>
              <c:numCache>
                <c:formatCode>#,##0</c:formatCode>
                <c:ptCount val="16"/>
                <c:pt idx="0">
                  <c:v>9560846.1234716475</c:v>
                </c:pt>
                <c:pt idx="1">
                  <c:v>1592109.9904640003</c:v>
                </c:pt>
                <c:pt idx="2">
                  <c:v>1025471.2998706435</c:v>
                </c:pt>
                <c:pt idx="3">
                  <c:v>847278.20080673532</c:v>
                </c:pt>
                <c:pt idx="4">
                  <c:v>835032.68536130548</c:v>
                </c:pt>
                <c:pt idx="5">
                  <c:v>935887.34611939196</c:v>
                </c:pt>
                <c:pt idx="6">
                  <c:v>577161.35302406771</c:v>
                </c:pt>
                <c:pt idx="7">
                  <c:v>1899127.4037093506</c:v>
                </c:pt>
                <c:pt idx="8">
                  <c:v>339291.43459851056</c:v>
                </c:pt>
                <c:pt idx="9">
                  <c:v>164480.09569996106</c:v>
                </c:pt>
                <c:pt idx="10">
                  <c:v>169587.22165844802</c:v>
                </c:pt>
                <c:pt idx="11">
                  <c:v>139381.39025016275</c:v>
                </c:pt>
                <c:pt idx="12">
                  <c:v>150386.89746845554</c:v>
                </c:pt>
                <c:pt idx="13">
                  <c:v>329428.27772366675</c:v>
                </c:pt>
                <c:pt idx="14">
                  <c:v>113376.69153505797</c:v>
                </c:pt>
                <c:pt idx="15">
                  <c:v>87118.695998789728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0-FEAF-40EC-ABD8-C6C46B303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6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8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A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C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E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0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2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4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6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8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A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C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E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40-FEAF-40EC-ABD8-C6C46B3032F9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po starom zakonu'!$B$39:$B$58</c15:sqref>
                        </c15:fullRef>
                        <c15:formulaRef>
                          <c15:sqref>('raspodela po starom zakonu'!$B$39:$B$45,'raspodela po starom zakonu'!$B$47:$B$54,'raspodela po starom zakonu'!$B$58)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38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13</c:v>
                      </c:pt>
                      <c:pt idx="6">
                        <c:v>0</c:v>
                      </c:pt>
                      <c:pt idx="7">
                        <c:v>31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41-FEAF-40EC-ABD8-C6C46B3032F9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61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zakonu'!$C$39:$C$58</c15:sqref>
                        </c15:fullRef>
                        <c15:formulaRef>
                          <c15:sqref>('raspodela po starom zakonu'!$C$39:$C$45,'raspodela po starom zakonu'!$C$47:$C$54,'raspodela po starom zakonu'!$C$58)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67908458.5</c:v>
                      </c:pt>
                      <c:pt idx="1">
                        <c:v>67908458.5</c:v>
                      </c:pt>
                      <c:pt idx="2">
                        <c:v>67908458.5</c:v>
                      </c:pt>
                      <c:pt idx="3">
                        <c:v>67908458.5</c:v>
                      </c:pt>
                      <c:pt idx="4">
                        <c:v>67908458.5</c:v>
                      </c:pt>
                      <c:pt idx="5">
                        <c:v>67908458.5</c:v>
                      </c:pt>
                      <c:pt idx="6">
                        <c:v>67908458.5</c:v>
                      </c:pt>
                      <c:pt idx="7">
                        <c:v>10250333.5</c:v>
                      </c:pt>
                      <c:pt idx="8">
                        <c:v>10250333.5</c:v>
                      </c:pt>
                      <c:pt idx="9">
                        <c:v>10250333.5</c:v>
                      </c:pt>
                      <c:pt idx="10">
                        <c:v>10250333.5</c:v>
                      </c:pt>
                      <c:pt idx="11">
                        <c:v>10250333.5</c:v>
                      </c:pt>
                      <c:pt idx="12">
                        <c:v>10250333.5</c:v>
                      </c:pt>
                      <c:pt idx="13">
                        <c:v>10250333.5</c:v>
                      </c:pt>
                      <c:pt idx="14">
                        <c:v>10250333.5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62-FEAF-40EC-ABD8-C6C46B3032F9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82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zakonu'!$D$39:$D$58</c15:sqref>
                        </c15:fullRef>
                        <c15:formulaRef>
                          <c15:sqref>('raspodela po starom zakonu'!$D$39:$D$45,'raspodela po starom zakonu'!$D$47:$D$54,'raspodela po starom zakonu'!$D$58)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883014959.88</c:v>
                      </c:pt>
                      <c:pt idx="1">
                        <c:v>115295747.712</c:v>
                      </c:pt>
                      <c:pt idx="2">
                        <c:v>45511479.359999999</c:v>
                      </c:pt>
                      <c:pt idx="3">
                        <c:v>30340986.239999998</c:v>
                      </c:pt>
                      <c:pt idx="4">
                        <c:v>30340986.239999998</c:v>
                      </c:pt>
                      <c:pt idx="5">
                        <c:v>39443282.111999996</c:v>
                      </c:pt>
                      <c:pt idx="6">
                        <c:v>0</c:v>
                      </c:pt>
                      <c:pt idx="7">
                        <c:v>94057057.343999997</c:v>
                      </c:pt>
                      <c:pt idx="8">
                        <c:v>15170493.119999999</c:v>
                      </c:pt>
                      <c:pt idx="9">
                        <c:v>9102295.8719999995</c:v>
                      </c:pt>
                      <c:pt idx="10">
                        <c:v>6068197.2479999997</c:v>
                      </c:pt>
                      <c:pt idx="11">
                        <c:v>6068197.2479999997</c:v>
                      </c:pt>
                      <c:pt idx="12">
                        <c:v>3034098.6239999998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83-FEAF-40EC-ABD8-C6C46B3032F9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A3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zakonu'!$E$39:$E$58</c15:sqref>
                        </c15:fullRef>
                        <c15:formulaRef>
                          <c15:sqref>('raspodela po starom zakonu'!$E$39:$E$45,'raspodela po starom zakonu'!$E$47:$E$54,'raspodela po starom zakonu'!$E$58)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950923418.38</c:v>
                      </c:pt>
                      <c:pt idx="1">
                        <c:v>183204206.21200001</c:v>
                      </c:pt>
                      <c:pt idx="2">
                        <c:v>113419937.86</c:v>
                      </c:pt>
                      <c:pt idx="3">
                        <c:v>98249444.739999995</c:v>
                      </c:pt>
                      <c:pt idx="4">
                        <c:v>98249444.739999995</c:v>
                      </c:pt>
                      <c:pt idx="5">
                        <c:v>107351740.61199999</c:v>
                      </c:pt>
                      <c:pt idx="6">
                        <c:v>67908458.5</c:v>
                      </c:pt>
                      <c:pt idx="7">
                        <c:v>104307390.844</c:v>
                      </c:pt>
                      <c:pt idx="8">
                        <c:v>25420826.619999997</c:v>
                      </c:pt>
                      <c:pt idx="9">
                        <c:v>19352629.372000001</c:v>
                      </c:pt>
                      <c:pt idx="10">
                        <c:v>16318530.748</c:v>
                      </c:pt>
                      <c:pt idx="11">
                        <c:v>16318530.748</c:v>
                      </c:pt>
                      <c:pt idx="12">
                        <c:v>13284432.124</c:v>
                      </c:pt>
                      <c:pt idx="13">
                        <c:v>10250333.5</c:v>
                      </c:pt>
                      <c:pt idx="14">
                        <c:v>10250333.5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A4-FEAF-40EC-ABD8-C6C46B3032F9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8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A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C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E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0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2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C4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zakonu'!$F$39:$F$58</c15:sqref>
                        </c15:fullRef>
                        <c15:formulaRef>
                          <c15:sqref>('raspodela po starom zakonu'!$F$39:$F$45,'raspodela po starom zakonu'!$F$47:$F$54,'raspodela po starom zakonu'!$F$58)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8082001.2542984234</c:v>
                      </c:pt>
                      <c:pt idx="1">
                        <c:v>1557072.4159055715</c:v>
                      </c:pt>
                      <c:pt idx="2">
                        <c:v>963968.35152992443</c:v>
                      </c:pt>
                      <c:pt idx="3">
                        <c:v>835032.68536130548</c:v>
                      </c:pt>
                      <c:pt idx="4">
                        <c:v>835032.68536130548</c:v>
                      </c:pt>
                      <c:pt idx="5">
                        <c:v>912394.08506247681</c:v>
                      </c:pt>
                      <c:pt idx="6">
                        <c:v>577161.35302406771</c:v>
                      </c:pt>
                      <c:pt idx="7">
                        <c:v>886519.82624422689</c:v>
                      </c:pt>
                      <c:pt idx="8">
                        <c:v>216054.3621674086</c:v>
                      </c:pt>
                      <c:pt idx="9">
                        <c:v>164480.09569996106</c:v>
                      </c:pt>
                      <c:pt idx="10">
                        <c:v>138692.96246623728</c:v>
                      </c:pt>
                      <c:pt idx="11">
                        <c:v>138692.96246623728</c:v>
                      </c:pt>
                      <c:pt idx="12">
                        <c:v>112905.8292325135</c:v>
                      </c:pt>
                      <c:pt idx="13">
                        <c:v>87118.695998789728</c:v>
                      </c:pt>
                      <c:pt idx="14">
                        <c:v>87118.695998789728</c:v>
                      </c:pt>
                      <c:pt idx="15">
                        <c:v>87118.695998789728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C5-FEAF-40EC-ABD8-C6C46B3032F9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E5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zakonu'!$G$39:$G$58</c15:sqref>
                        </c15:fullRef>
                        <c15:formulaRef>
                          <c15:sqref>('raspodela po starom zakonu'!$G$39:$G$45,'raspodela po starom zakonu'!$G$47:$G$54,'raspodela po starom zakonu'!$G$58)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E6-FEAF-40EC-ABD8-C6C46B3032F9}"/>
                  </c:ext>
                </c:extLst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FEAF-40EC-ABD8-C6C46B3032F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FEAF-40EC-ABD8-C6C46B3032F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FEAF-40EC-ABD8-C6C46B3032F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FEAF-40EC-ABD8-C6C46B3032F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FEAF-40EC-ABD8-C6C46B3032F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2-FEAF-40EC-ABD8-C6C46B3032F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4-FEAF-40EC-ABD8-C6C46B3032F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6-FEAF-40EC-ABD8-C6C46B3032F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8-FEAF-40EC-ABD8-C6C46B3032F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A-FEAF-40EC-ABD8-C6C46B3032F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C-FEAF-40EC-ABD8-C6C46B3032F9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FEAF-40EC-ABD8-C6C46B3032F9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FEAF-40EC-ABD8-C6C46B3032F9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FEAF-40EC-ABD8-C6C46B3032F9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FEAF-40EC-ABD8-C6C46B3032F9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106-FEAF-40EC-ABD8-C6C46B3032F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zakonu'!$A$39:$A$58</c15:sqref>
                        </c15:fullRef>
                        <c15:formulaRef>
                          <c15:sqref>('raspodela po starom zakonu'!$A$39:$A$45,'raspodela po starom zakonu'!$A$47:$A$54,'raspodela po starom zakonu'!$A$58)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po starom zakonu'!$H$39:$H$58</c15:sqref>
                        </c15:fullRef>
                        <c15:formulaRef>
                          <c15:sqref>('raspodela po starom zakonu'!$H$39:$H$45,'raspodela po starom zakonu'!$H$47:$H$54,'raspodela po starom zakonu'!$H$58)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1124923418.3800001</c:v>
                      </c:pt>
                      <c:pt idx="1">
                        <c:v>187326706.21200001</c:v>
                      </c:pt>
                      <c:pt idx="2">
                        <c:v>120656337.86</c:v>
                      </c:pt>
                      <c:pt idx="3">
                        <c:v>99690244.739999995</c:v>
                      </c:pt>
                      <c:pt idx="4">
                        <c:v>98249444.739999995</c:v>
                      </c:pt>
                      <c:pt idx="5">
                        <c:v>110115943.61199999</c:v>
                      </c:pt>
                      <c:pt idx="6">
                        <c:v>67908458.5</c:v>
                      </c:pt>
                      <c:pt idx="7">
                        <c:v>223450190.84399998</c:v>
                      </c:pt>
                      <c:pt idx="8">
                        <c:v>39920826.619999997</c:v>
                      </c:pt>
                      <c:pt idx="9">
                        <c:v>19352629.372000001</c:v>
                      </c:pt>
                      <c:pt idx="10">
                        <c:v>19953530.748</c:v>
                      </c:pt>
                      <c:pt idx="11">
                        <c:v>16399530.748</c:v>
                      </c:pt>
                      <c:pt idx="12">
                        <c:v>17694432.123999998</c:v>
                      </c:pt>
                      <c:pt idx="13">
                        <c:v>38760333.5</c:v>
                      </c:pt>
                      <c:pt idx="14">
                        <c:v>13339833.5</c:v>
                      </c:pt>
                      <c:pt idx="15">
                        <c:v>10250333.5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107-FEAF-40EC-ABD8-C6C46B3032F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raspodela</a:t>
            </a:r>
            <a:r>
              <a:rPr lang="sr-Latn-RS" baseline="0"/>
              <a:t> novca iz </a:t>
            </a:r>
            <a:r>
              <a:rPr lang="en-US"/>
              <a:t>budžet</a:t>
            </a:r>
            <a:r>
              <a:rPr lang="sr-Latn-RS"/>
              <a:t>a republički</a:t>
            </a:r>
            <a:r>
              <a:rPr lang="sr-Latn-RS" baseline="0"/>
              <a:t> izbori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'Raspodela budžetskog novca '!$F$38</c:f>
              <c:strCache>
                <c:ptCount val="1"/>
                <c:pt idx="0">
                  <c:v>ukupno budžet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35F-4DB7-9682-367C63E324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A24-4BB9-97CE-2408863EF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A24-4BB9-97CE-2408863EF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A24-4BB9-97CE-2408863EFE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A24-4BB9-97CE-2408863EFE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A24-4BB9-97CE-2408863EFE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A24-4BB9-97CE-2408863EFEF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A24-4BB9-97CE-2408863EFEF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A24-4BB9-97CE-2408863EFEF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A24-4BB9-97CE-2408863EFEF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A24-4BB9-97CE-2408863EFEF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A24-4BB9-97CE-2408863EFEF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A24-4BB9-97CE-2408863EFEF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A24-4BB9-97CE-2408863EFEF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4A24-4BB9-97CE-2408863EFEF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4A24-4BB9-97CE-2408863EFEF7}"/>
              </c:ext>
            </c:extLst>
          </c:dPt>
          <c:dLbls>
            <c:dLbl>
              <c:idx val="0"/>
              <c:layout>
                <c:manualLayout>
                  <c:x val="-4.7480838662772785E-2"/>
                  <c:y val="-0.24440960990348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F-4DB7-9682-367C63E32495}"/>
                </c:ext>
              </c:extLst>
            </c:dLbl>
            <c:dLbl>
              <c:idx val="7"/>
              <c:layout>
                <c:manualLayout>
                  <c:x val="-1.4456489593730362E-3"/>
                  <c:y val="-2.37031936025258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24-4BB9-97CE-2408863EFEF7}"/>
                </c:ext>
              </c:extLst>
            </c:dLbl>
            <c:dLbl>
              <c:idx val="8"/>
              <c:layout>
                <c:manualLayout>
                  <c:x val="-1.5349555777358815E-2"/>
                  <c:y val="-3.7188792137461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24-4BB9-97CE-2408863EF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budžetskog novca '!$A$39:$A$58</c15:sqref>
                  </c15:fullRef>
                </c:ext>
              </c:extLst>
              <c:f>('Raspodela budžetskog novca '!$A$39:$A$45,'Raspodela budžetskog novca '!$A$47:$A$54,'Raspodela budžetskog novca 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budžetskog novca '!$F$39:$F$58</c15:sqref>
                  </c15:fullRef>
                </c:ext>
              </c:extLst>
              <c:f>('Raspodela budžetskog novca '!$F$39:$F$45,'Raspodela budžetskog novca '!$F$47:$F$54,'Raspodela budžetskog novca '!$F$58)</c:f>
              <c:numCache>
                <c:formatCode>#,##0</c:formatCode>
                <c:ptCount val="16"/>
                <c:pt idx="0">
                  <c:v>8088099.5860934183</c:v>
                </c:pt>
                <c:pt idx="1">
                  <c:v>1314098.3852033922</c:v>
                </c:pt>
                <c:pt idx="2">
                  <c:v>869444.57204439258</c:v>
                </c:pt>
                <c:pt idx="3">
                  <c:v>768386.88723552891</c:v>
                </c:pt>
                <c:pt idx="4">
                  <c:v>768386.88723552891</c:v>
                </c:pt>
                <c:pt idx="5">
                  <c:v>808809.96115907445</c:v>
                </c:pt>
                <c:pt idx="6">
                  <c:v>566271.5176178019</c:v>
                </c:pt>
                <c:pt idx="7">
                  <c:v>821006.57477430615</c:v>
                </c:pt>
                <c:pt idx="8">
                  <c:v>295506.6137682157</c:v>
                </c:pt>
                <c:pt idx="9">
                  <c:v>234872.00288289759</c:v>
                </c:pt>
                <c:pt idx="10">
                  <c:v>214660.46592112485</c:v>
                </c:pt>
                <c:pt idx="11">
                  <c:v>214660.46592112485</c:v>
                </c:pt>
                <c:pt idx="12">
                  <c:v>194448.92895935214</c:v>
                </c:pt>
                <c:pt idx="13">
                  <c:v>174237.39199757946</c:v>
                </c:pt>
                <c:pt idx="14">
                  <c:v>174237.39199757946</c:v>
                </c:pt>
                <c:pt idx="15">
                  <c:v>174237.39199757946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35F-4DB7-9682-367C63E3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'Raspodela budžetskog novca '!$B$38</c15:sqref>
                        </c15:formulaRef>
                      </c:ext>
                    </c:extLst>
                    <c:strCache>
                      <c:ptCount val="1"/>
                      <c:pt idx="0">
                        <c:v>mandati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F-4A24-4BB9-97CE-2408863EFEF7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budžetskog novca '!$B$39:$B$58</c15:sqref>
                        </c15:fullRef>
                        <c15:formulaRef>
                          <c15:sqref>('Raspodela budžetskog novca '!$B$39:$B$45,'Raspodela budžetskog novca '!$B$47:$B$54,'Raspodela budžetskog novca 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37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12</c:v>
                      </c:pt>
                      <c:pt idx="6">
                        <c:v>0</c:v>
                      </c:pt>
                      <c:pt idx="7">
                        <c:v>32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0-B35F-4DB7-9682-367C63E32495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'!$C$38</c15:sqref>
                        </c15:formulaRef>
                      </c:ext>
                    </c:extLst>
                    <c:strCache>
                      <c:ptCount val="1"/>
                      <c:pt idx="0">
                        <c:v>prvi deo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5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'!$C$39:$C$58</c15:sqref>
                        </c15:fullRef>
                        <c15:formulaRef>
                          <c15:sqref>('Raspodela budžetskog novca '!$C$39:$C$45,'Raspodela budžetskog novca '!$C$47:$C$54,'Raspodela budžetskog novca 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66627167</c:v>
                      </c:pt>
                      <c:pt idx="1">
                        <c:v>66627167</c:v>
                      </c:pt>
                      <c:pt idx="2">
                        <c:v>66627167</c:v>
                      </c:pt>
                      <c:pt idx="3">
                        <c:v>66627167</c:v>
                      </c:pt>
                      <c:pt idx="4">
                        <c:v>66627167</c:v>
                      </c:pt>
                      <c:pt idx="5">
                        <c:v>66627167</c:v>
                      </c:pt>
                      <c:pt idx="6">
                        <c:v>66627167</c:v>
                      </c:pt>
                      <c:pt idx="7">
                        <c:v>20500667</c:v>
                      </c:pt>
                      <c:pt idx="8">
                        <c:v>20500667</c:v>
                      </c:pt>
                      <c:pt idx="9">
                        <c:v>20500667</c:v>
                      </c:pt>
                      <c:pt idx="10">
                        <c:v>20500667</c:v>
                      </c:pt>
                      <c:pt idx="11">
                        <c:v>20500667</c:v>
                      </c:pt>
                      <c:pt idx="12">
                        <c:v>20500667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1-B35F-4DB7-9682-367C63E32495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'!$D$38</c15:sqref>
                        </c15:formulaRef>
                      </c:ext>
                    </c:extLst>
                    <c:strCache>
                      <c:ptCount val="1"/>
                      <c:pt idx="0">
                        <c:v>uspeh budžet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7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'!$D$39:$D$58</c15:sqref>
                        </c15:fullRef>
                        <c15:formulaRef>
                          <c15:sqref>('Raspodela budžetskog novca '!$D$39:$D$45,'Raspodela budžetskog novca '!$D$47:$D$54,'Raspodela budžetskog novca 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885013777.44000006</c:v>
                      </c:pt>
                      <c:pt idx="1">
                        <c:v>87988860.544</c:v>
                      </c:pt>
                      <c:pt idx="2">
                        <c:v>35671159.68</c:v>
                      </c:pt>
                      <c:pt idx="3">
                        <c:v>23780773.119999997</c:v>
                      </c:pt>
                      <c:pt idx="4">
                        <c:v>23780773.119999997</c:v>
                      </c:pt>
                      <c:pt idx="5">
                        <c:v>28536927.743999999</c:v>
                      </c:pt>
                      <c:pt idx="6">
                        <c:v>0</c:v>
                      </c:pt>
                      <c:pt idx="7">
                        <c:v>76098473.983999997</c:v>
                      </c:pt>
                      <c:pt idx="8">
                        <c:v>14268463.872</c:v>
                      </c:pt>
                      <c:pt idx="9">
                        <c:v>7134231.9359999998</c:v>
                      </c:pt>
                      <c:pt idx="10">
                        <c:v>4756154.6239999998</c:v>
                      </c:pt>
                      <c:pt idx="11">
                        <c:v>4756154.6239999998</c:v>
                      </c:pt>
                      <c:pt idx="12">
                        <c:v>2378077.3119999999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2-B35F-4DB7-9682-367C63E32495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'!$E$38</c15:sqref>
                        </c15:formulaRef>
                      </c:ext>
                    </c:extLst>
                    <c:strCache>
                      <c:ptCount val="1"/>
                      <c:pt idx="0">
                        <c:v>ukupno budžet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9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'!$E$39:$E$58</c15:sqref>
                        </c15:fullRef>
                        <c15:formulaRef>
                          <c15:sqref>('Raspodela budžetskog novca '!$E$39:$E$45,'Raspodela budžetskog novca '!$E$47:$E$54,'Raspodela budžetskog novca 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951640944.44000006</c:v>
                      </c:pt>
                      <c:pt idx="1">
                        <c:v>154616027.544</c:v>
                      </c:pt>
                      <c:pt idx="2">
                        <c:v>102298326.68000001</c:v>
                      </c:pt>
                      <c:pt idx="3">
                        <c:v>90407940.120000005</c:v>
                      </c:pt>
                      <c:pt idx="4">
                        <c:v>90407940.120000005</c:v>
                      </c:pt>
                      <c:pt idx="5">
                        <c:v>95164094.744000003</c:v>
                      </c:pt>
                      <c:pt idx="6">
                        <c:v>66627167</c:v>
                      </c:pt>
                      <c:pt idx="7">
                        <c:v>96599140.983999997</c:v>
                      </c:pt>
                      <c:pt idx="8">
                        <c:v>34769130.872000001</c:v>
                      </c:pt>
                      <c:pt idx="9">
                        <c:v>27634898.936000001</c:v>
                      </c:pt>
                      <c:pt idx="10">
                        <c:v>25256821.623999998</c:v>
                      </c:pt>
                      <c:pt idx="11">
                        <c:v>25256821.623999998</c:v>
                      </c:pt>
                      <c:pt idx="12">
                        <c:v>22878744.311999999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3-B35F-4DB7-9682-367C63E32495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'!$G$38</c15:sqref>
                        </c15:formulaRef>
                      </c:ext>
                    </c:extLst>
                    <c:strCache>
                      <c:ptCount val="1"/>
                      <c:pt idx="0">
                        <c:v>prijavljeni ostalo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B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'!$G$39:$G$58</c15:sqref>
                        </c15:fullRef>
                        <c15:formulaRef>
                          <c15:sqref>('Raspodela budžetskog novca '!$G$39:$G$45,'Raspodela budžetskog novca '!$G$47:$G$54,'Raspodela budžetskog novca 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5-B35F-4DB7-9682-367C63E32495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'!$H$38</c15:sqref>
                        </c15:formulaRef>
                      </c:ext>
                    </c:extLst>
                    <c:strCache>
                      <c:ptCount val="1"/>
                      <c:pt idx="0">
                        <c:v>ukupna sredstva RSD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D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'!$H$39:$H$58</c15:sqref>
                        </c15:fullRef>
                        <c15:formulaRef>
                          <c15:sqref>('Raspodela budžetskog novca '!$H$39:$H$45,'Raspodela budžetskog novca '!$H$47:$H$54,'Raspodela budžetskog novca 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1125640944.4400001</c:v>
                      </c:pt>
                      <c:pt idx="1">
                        <c:v>158738527.544</c:v>
                      </c:pt>
                      <c:pt idx="2">
                        <c:v>109534726.68000001</c:v>
                      </c:pt>
                      <c:pt idx="3">
                        <c:v>91848740.120000005</c:v>
                      </c:pt>
                      <c:pt idx="4">
                        <c:v>90407940.120000005</c:v>
                      </c:pt>
                      <c:pt idx="5">
                        <c:v>97928297.744000003</c:v>
                      </c:pt>
                      <c:pt idx="6">
                        <c:v>66627167</c:v>
                      </c:pt>
                      <c:pt idx="7">
                        <c:v>215741940.984</c:v>
                      </c:pt>
                      <c:pt idx="8">
                        <c:v>49269130.872000001</c:v>
                      </c:pt>
                      <c:pt idx="9">
                        <c:v>27634898.936000001</c:v>
                      </c:pt>
                      <c:pt idx="10">
                        <c:v>28891821.623999998</c:v>
                      </c:pt>
                      <c:pt idx="11">
                        <c:v>25337821.623999998</c:v>
                      </c:pt>
                      <c:pt idx="12">
                        <c:v>27288744.311999999</c:v>
                      </c:pt>
                      <c:pt idx="13">
                        <c:v>49010667</c:v>
                      </c:pt>
                      <c:pt idx="14">
                        <c:v>23590167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6-B35F-4DB7-9682-367C63E32495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'Raspodela budžetskog novca '!$I$38</c15:sqref>
                        </c15:formulaRef>
                      </c:ext>
                    </c:extLst>
                    <c:strCache>
                      <c:ptCount val="1"/>
                      <c:pt idx="0">
                        <c:v>ukupna sredstva EUR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4A24-4BB9-97CE-2408863EFE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4A24-4BB9-97CE-2408863EFEF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5-4A24-4BB9-97CE-2408863EFEF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4A24-4BB9-97CE-2408863EFEF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4A24-4BB9-97CE-2408863EFEF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4A24-4BB9-97CE-2408863EFEF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4A24-4BB9-97CE-2408863EFEF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4A24-4BB9-97CE-2408863EFEF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4A24-4BB9-97CE-2408863EFEF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4A24-4BB9-97CE-2408863EFEF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4A24-4BB9-97CE-2408863EFEF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4A24-4BB9-97CE-2408863EFEF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4A24-4BB9-97CE-2408863EFEF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4A24-4BB9-97CE-2408863EFEF7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D-4A24-4BB9-97CE-2408863EFEF7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FF-4A24-4BB9-97CE-2408863EFEF7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'!$I$39:$I$58</c15:sqref>
                        </c15:fullRef>
                        <c15:formulaRef>
                          <c15:sqref>('Raspodela budžetskog novca '!$I$39:$I$45,'Raspodela budžetskog novca '!$I$47:$I$54,'Raspodela budžetskog novca '!$I$58)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9566944.4552666433</c:v>
                      </c:pt>
                      <c:pt idx="1">
                        <c:v>1349135.959761821</c:v>
                      </c:pt>
                      <c:pt idx="2">
                        <c:v>930947.52038511157</c:v>
                      </c:pt>
                      <c:pt idx="3">
                        <c:v>780632.40268095874</c:v>
                      </c:pt>
                      <c:pt idx="4">
                        <c:v>768386.88723552891</c:v>
                      </c:pt>
                      <c:pt idx="5">
                        <c:v>832303.22221598949</c:v>
                      </c:pt>
                      <c:pt idx="6">
                        <c:v>566271.5176178019</c:v>
                      </c:pt>
                      <c:pt idx="7">
                        <c:v>1833614.15223943</c:v>
                      </c:pt>
                      <c:pt idx="8">
                        <c:v>418743.68619931769</c:v>
                      </c:pt>
                      <c:pt idx="9">
                        <c:v>234872.00288289759</c:v>
                      </c:pt>
                      <c:pt idx="10">
                        <c:v>245554.72511333559</c:v>
                      </c:pt>
                      <c:pt idx="11">
                        <c:v>215348.89370505032</c:v>
                      </c:pt>
                      <c:pt idx="12">
                        <c:v>231929.99719529419</c:v>
                      </c:pt>
                      <c:pt idx="13">
                        <c:v>416546.97372245649</c:v>
                      </c:pt>
                      <c:pt idx="14">
                        <c:v>200495.38753384768</c:v>
                      </c:pt>
                      <c:pt idx="15">
                        <c:v>174237.39199757946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7-B35F-4DB7-9682-367C63E32495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učešće</a:t>
            </a:r>
            <a:r>
              <a:rPr lang="sr-Latn-RS" baseline="0"/>
              <a:t> u do sada poznatim prihodima kampanje republički izbori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724637681159419E-2"/>
          <c:y val="0.39324660990936611"/>
          <c:w val="0.94371980676328504"/>
          <c:h val="0.44663481036818559"/>
        </c:manualLayout>
      </c:layout>
      <c:pie3DChart>
        <c:varyColors val="1"/>
        <c:ser>
          <c:idx val="7"/>
          <c:order val="7"/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EF9-4FC4-AD5A-996595E273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A7-4D77-BC04-CFC8EE58B7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DA7-4D77-BC04-CFC8EE58B7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DA7-4D77-BC04-CFC8EE58B7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DA7-4D77-BC04-CFC8EE58B7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DA7-4D77-BC04-CFC8EE58B7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DA7-4D77-BC04-CFC8EE58B7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DA7-4D77-BC04-CFC8EE58B7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DA7-4D77-BC04-CFC8EE58B7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DA7-4D77-BC04-CFC8EE58B72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DA7-4D77-BC04-CFC8EE58B72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6DA7-4D77-BC04-CFC8EE58B72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6DA7-4D77-BC04-CFC8EE58B72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6DA7-4D77-BC04-CFC8EE58B72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6DA7-4D77-BC04-CFC8EE58B72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6DA7-4D77-BC04-CFC8EE58B722}"/>
              </c:ext>
            </c:extLst>
          </c:dPt>
          <c:dLbls>
            <c:dLbl>
              <c:idx val="0"/>
              <c:layout>
                <c:manualLayout>
                  <c:x val="-2.2509651889844044E-2"/>
                  <c:y val="-0.18948852349931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F9-4FC4-AD5A-996595E27377}"/>
                </c:ext>
              </c:extLst>
            </c:dLbl>
            <c:dLbl>
              <c:idx val="7"/>
              <c:layout>
                <c:manualLayout>
                  <c:x val="-6.0100331495260374E-2"/>
                  <c:y val="-2.3278867013886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A7-4D77-BC04-CFC8EE58B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'Raspodela budžetskog novca '!$A$39:$A$58</c15:sqref>
                  </c15:fullRef>
                </c:ext>
              </c:extLst>
              <c:f>('Raspodela budžetskog novca '!$A$39:$A$45,'Raspodela budžetskog novca '!$A$47:$A$54,'Raspodela budžetskog novca '!$A$58)</c:f>
              <c:strCache>
                <c:ptCount val="16"/>
                <c:pt idx="0">
                  <c:v>SNS</c:v>
                </c:pt>
                <c:pt idx="1">
                  <c:v>UPS</c:v>
                </c:pt>
                <c:pt idx="2">
                  <c:v>NADA</c:v>
                </c:pt>
                <c:pt idx="3">
                  <c:v>Dveri</c:v>
                </c:pt>
                <c:pt idx="4">
                  <c:v>Zavetnici</c:v>
                </c:pt>
                <c:pt idx="5">
                  <c:v>Moramo</c:v>
                </c:pt>
                <c:pt idx="6">
                  <c:v>Suverenisti</c:v>
                </c:pt>
                <c:pt idx="7">
                  <c:v>SPS</c:v>
                </c:pt>
                <c:pt idx="8">
                  <c:v>SVM</c:v>
                </c:pt>
                <c:pt idx="9">
                  <c:v>SPP</c:v>
                </c:pt>
                <c:pt idx="10">
                  <c:v>ZZV</c:v>
                </c:pt>
                <c:pt idx="11">
                  <c:v>SDA</c:v>
                </c:pt>
                <c:pt idx="12">
                  <c:v>KAD</c:v>
                </c:pt>
                <c:pt idx="13">
                  <c:v>SRS</c:v>
                </c:pt>
                <c:pt idx="14">
                  <c:v>Ajmo ljudi</c:v>
                </c:pt>
                <c:pt idx="15">
                  <c:v>Ruski savez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'Raspodela budžetskog novca '!$I$39:$I$58</c15:sqref>
                  </c15:fullRef>
                </c:ext>
              </c:extLst>
              <c:f>('Raspodela budžetskog novca '!$I$39:$I$45,'Raspodela budžetskog novca '!$I$47:$I$54,'Raspodela budžetskog novca '!$I$58)</c:f>
              <c:numCache>
                <c:formatCode>#,##0</c:formatCode>
                <c:ptCount val="16"/>
                <c:pt idx="0">
                  <c:v>9566944.4552666433</c:v>
                </c:pt>
                <c:pt idx="1">
                  <c:v>1349135.959761821</c:v>
                </c:pt>
                <c:pt idx="2">
                  <c:v>930947.52038511157</c:v>
                </c:pt>
                <c:pt idx="3">
                  <c:v>780632.40268095874</c:v>
                </c:pt>
                <c:pt idx="4">
                  <c:v>768386.88723552891</c:v>
                </c:pt>
                <c:pt idx="5">
                  <c:v>832303.22221598949</c:v>
                </c:pt>
                <c:pt idx="6">
                  <c:v>566271.5176178019</c:v>
                </c:pt>
                <c:pt idx="7">
                  <c:v>1833614.15223943</c:v>
                </c:pt>
                <c:pt idx="8">
                  <c:v>418743.68619931769</c:v>
                </c:pt>
                <c:pt idx="9">
                  <c:v>234872.00288289759</c:v>
                </c:pt>
                <c:pt idx="10">
                  <c:v>245554.72511333559</c:v>
                </c:pt>
                <c:pt idx="11">
                  <c:v>215348.89370505032</c:v>
                </c:pt>
                <c:pt idx="12">
                  <c:v>231929.99719529419</c:v>
                </c:pt>
                <c:pt idx="13">
                  <c:v>416546.97372245649</c:v>
                </c:pt>
                <c:pt idx="14">
                  <c:v>200495.38753384768</c:v>
                </c:pt>
                <c:pt idx="15">
                  <c:v>174237.39199757946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7-CEF9-4FC4-AD5A-996595E2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3F-6DA7-4D77-BC04-CFC8EE58B722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'Raspodela budžetskog novca '!$B$39:$B$58</c15:sqref>
                        </c15:fullRef>
                        <c15:formulaRef>
                          <c15:sqref>('Raspodela budžetskog novca '!$B$39:$B$45,'Raspodela budžetskog novca '!$B$47:$B$54,'Raspodela budžetskog novca '!$B$58)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120</c:v>
                      </c:pt>
                      <c:pt idx="1">
                        <c:v>37</c:v>
                      </c:pt>
                      <c:pt idx="2">
                        <c:v>15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12</c:v>
                      </c:pt>
                      <c:pt idx="6">
                        <c:v>0</c:v>
                      </c:pt>
                      <c:pt idx="7">
                        <c:v>32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0-CEF9-4FC4-AD5A-996595E27377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5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'!$C$39:$C$58</c15:sqref>
                        </c15:fullRef>
                        <c15:formulaRef>
                          <c15:sqref>('Raspodela budžetskog novca '!$C$39:$C$45,'Raspodela budžetskog novca '!$C$47:$C$54,'Raspodela budžetskog novca '!$C$58)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66627167</c:v>
                      </c:pt>
                      <c:pt idx="1">
                        <c:v>66627167</c:v>
                      </c:pt>
                      <c:pt idx="2">
                        <c:v>66627167</c:v>
                      </c:pt>
                      <c:pt idx="3">
                        <c:v>66627167</c:v>
                      </c:pt>
                      <c:pt idx="4">
                        <c:v>66627167</c:v>
                      </c:pt>
                      <c:pt idx="5">
                        <c:v>66627167</c:v>
                      </c:pt>
                      <c:pt idx="6">
                        <c:v>66627167</c:v>
                      </c:pt>
                      <c:pt idx="7">
                        <c:v>20500667</c:v>
                      </c:pt>
                      <c:pt idx="8">
                        <c:v>20500667</c:v>
                      </c:pt>
                      <c:pt idx="9">
                        <c:v>20500667</c:v>
                      </c:pt>
                      <c:pt idx="10">
                        <c:v>20500667</c:v>
                      </c:pt>
                      <c:pt idx="11">
                        <c:v>20500667</c:v>
                      </c:pt>
                      <c:pt idx="12">
                        <c:v>20500667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1-CEF9-4FC4-AD5A-996595E27377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7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'!$D$39:$D$58</c15:sqref>
                        </c15:fullRef>
                        <c15:formulaRef>
                          <c15:sqref>('Raspodela budžetskog novca '!$D$39:$D$45,'Raspodela budžetskog novca '!$D$47:$D$54,'Raspodela budžetskog novca '!$D$58)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885013777.44000006</c:v>
                      </c:pt>
                      <c:pt idx="1">
                        <c:v>87988860.544</c:v>
                      </c:pt>
                      <c:pt idx="2">
                        <c:v>35671159.68</c:v>
                      </c:pt>
                      <c:pt idx="3">
                        <c:v>23780773.119999997</c:v>
                      </c:pt>
                      <c:pt idx="4">
                        <c:v>23780773.119999997</c:v>
                      </c:pt>
                      <c:pt idx="5">
                        <c:v>28536927.743999999</c:v>
                      </c:pt>
                      <c:pt idx="6">
                        <c:v>0</c:v>
                      </c:pt>
                      <c:pt idx="7">
                        <c:v>76098473.983999997</c:v>
                      </c:pt>
                      <c:pt idx="8">
                        <c:v>14268463.872</c:v>
                      </c:pt>
                      <c:pt idx="9">
                        <c:v>7134231.9359999998</c:v>
                      </c:pt>
                      <c:pt idx="10">
                        <c:v>4756154.6239999998</c:v>
                      </c:pt>
                      <c:pt idx="11">
                        <c:v>4756154.6239999998</c:v>
                      </c:pt>
                      <c:pt idx="12">
                        <c:v>2378077.3119999999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2-CEF9-4FC4-AD5A-996595E27377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9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'!$E$39:$E$58</c15:sqref>
                        </c15:fullRef>
                        <c15:formulaRef>
                          <c15:sqref>('Raspodela budžetskog novca '!$E$39:$E$45,'Raspodela budžetskog novca '!$E$47:$E$54,'Raspodela budžetskog novca '!$E$58)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951640944.44000006</c:v>
                      </c:pt>
                      <c:pt idx="1">
                        <c:v>154616027.544</c:v>
                      </c:pt>
                      <c:pt idx="2">
                        <c:v>102298326.68000001</c:v>
                      </c:pt>
                      <c:pt idx="3">
                        <c:v>90407940.120000005</c:v>
                      </c:pt>
                      <c:pt idx="4">
                        <c:v>90407940.120000005</c:v>
                      </c:pt>
                      <c:pt idx="5">
                        <c:v>95164094.744000003</c:v>
                      </c:pt>
                      <c:pt idx="6">
                        <c:v>66627167</c:v>
                      </c:pt>
                      <c:pt idx="7">
                        <c:v>96599140.983999997</c:v>
                      </c:pt>
                      <c:pt idx="8">
                        <c:v>34769130.872000001</c:v>
                      </c:pt>
                      <c:pt idx="9">
                        <c:v>27634898.936000001</c:v>
                      </c:pt>
                      <c:pt idx="10">
                        <c:v>25256821.623999998</c:v>
                      </c:pt>
                      <c:pt idx="11">
                        <c:v>25256821.623999998</c:v>
                      </c:pt>
                      <c:pt idx="12">
                        <c:v>22878744.311999999</c:v>
                      </c:pt>
                      <c:pt idx="13">
                        <c:v>20500667</c:v>
                      </c:pt>
                      <c:pt idx="14">
                        <c:v>20500667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3-CEF9-4FC4-AD5A-996595E27377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B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'!$F$39:$F$58</c15:sqref>
                        </c15:fullRef>
                        <c15:formulaRef>
                          <c15:sqref>('Raspodela budžetskog novca '!$F$39:$F$45,'Raspodela budžetskog novca '!$F$47:$F$54,'Raspodela budžetskog novca '!$F$58)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8088099.5860934183</c:v>
                      </c:pt>
                      <c:pt idx="1">
                        <c:v>1314098.3852033922</c:v>
                      </c:pt>
                      <c:pt idx="2">
                        <c:v>869444.57204439258</c:v>
                      </c:pt>
                      <c:pt idx="3">
                        <c:v>768386.88723552891</c:v>
                      </c:pt>
                      <c:pt idx="4">
                        <c:v>768386.88723552891</c:v>
                      </c:pt>
                      <c:pt idx="5">
                        <c:v>808809.96115907445</c:v>
                      </c:pt>
                      <c:pt idx="6">
                        <c:v>566271.5176178019</c:v>
                      </c:pt>
                      <c:pt idx="7">
                        <c:v>821006.57477430615</c:v>
                      </c:pt>
                      <c:pt idx="8">
                        <c:v>295506.6137682157</c:v>
                      </c:pt>
                      <c:pt idx="9">
                        <c:v>234872.00288289759</c:v>
                      </c:pt>
                      <c:pt idx="10">
                        <c:v>214660.46592112485</c:v>
                      </c:pt>
                      <c:pt idx="11">
                        <c:v>214660.46592112485</c:v>
                      </c:pt>
                      <c:pt idx="12">
                        <c:v>194448.92895935214</c:v>
                      </c:pt>
                      <c:pt idx="13">
                        <c:v>174237.39199757946</c:v>
                      </c:pt>
                      <c:pt idx="14">
                        <c:v>174237.39199757946</c:v>
                      </c:pt>
                      <c:pt idx="15">
                        <c:v>174237.39199757946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4-CEF9-4FC4-AD5A-996595E27377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D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'!$G$39:$G$58</c15:sqref>
                        </c15:fullRef>
                        <c15:formulaRef>
                          <c15:sqref>('Raspodela budžetskog novca '!$G$39:$G$45,'Raspodela budžetskog novca '!$G$47:$G$54,'Raspodela budžetskog novca '!$G$58)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174000000</c:v>
                      </c:pt>
                      <c:pt idx="1">
                        <c:v>4122500</c:v>
                      </c:pt>
                      <c:pt idx="2">
                        <c:v>7236400</c:v>
                      </c:pt>
                      <c:pt idx="3">
                        <c:v>1440800</c:v>
                      </c:pt>
                      <c:pt idx="4">
                        <c:v>0</c:v>
                      </c:pt>
                      <c:pt idx="5">
                        <c:v>2764203</c:v>
                      </c:pt>
                      <c:pt idx="6">
                        <c:v>0</c:v>
                      </c:pt>
                      <c:pt idx="7">
                        <c:v>119142800</c:v>
                      </c:pt>
                      <c:pt idx="8">
                        <c:v>14500000</c:v>
                      </c:pt>
                      <c:pt idx="9">
                        <c:v>0</c:v>
                      </c:pt>
                      <c:pt idx="10">
                        <c:v>3635000</c:v>
                      </c:pt>
                      <c:pt idx="11">
                        <c:v>81000</c:v>
                      </c:pt>
                      <c:pt idx="12">
                        <c:v>4410000</c:v>
                      </c:pt>
                      <c:pt idx="13">
                        <c:v>28510000</c:v>
                      </c:pt>
                      <c:pt idx="14">
                        <c:v>3089500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5-CEF9-4FC4-AD5A-996595E27377}"/>
                  </c:ext>
                </c:extLst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6DA7-4D77-BC04-CFC8EE58B7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6DA7-4D77-BC04-CFC8EE58B7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5-6DA7-4D77-BC04-CFC8EE58B7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6DA7-4D77-BC04-CFC8EE58B72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6DA7-4D77-BC04-CFC8EE58B72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6DA7-4D77-BC04-CFC8EE58B72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6DA7-4D77-BC04-CFC8EE58B72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6DA7-4D77-BC04-CFC8EE58B72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6DA7-4D77-BC04-CFC8EE58B72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6DA7-4D77-BC04-CFC8EE58B722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6DA7-4D77-BC04-CFC8EE58B722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6DA7-4D77-BC04-CFC8EE58B722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6DA7-4D77-BC04-CFC8EE58B722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6DA7-4D77-BC04-CFC8EE58B722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D-6DA7-4D77-BC04-CFC8EE58B722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FF-6DA7-4D77-BC04-CFC8EE58B722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'!$A$39:$A$58</c15:sqref>
                        </c15:fullRef>
                        <c15:formulaRef>
                          <c15:sqref>('Raspodela budžetskog novca '!$A$39:$A$45,'Raspodela budžetskog novca '!$A$47:$A$54,'Raspodela budžetskog novca '!$A$58)</c15:sqref>
                        </c15:formulaRef>
                      </c:ext>
                    </c:extLst>
                    <c:strCache>
                      <c:ptCount val="16"/>
                      <c:pt idx="0">
                        <c:v>SNS</c:v>
                      </c:pt>
                      <c:pt idx="1">
                        <c:v>UPS</c:v>
                      </c:pt>
                      <c:pt idx="2">
                        <c:v>NADA</c:v>
                      </c:pt>
                      <c:pt idx="3">
                        <c:v>Dveri</c:v>
                      </c:pt>
                      <c:pt idx="4">
                        <c:v>Zavetnici</c:v>
                      </c:pt>
                      <c:pt idx="5">
                        <c:v>Moramo</c:v>
                      </c:pt>
                      <c:pt idx="6">
                        <c:v>Suverenisti</c:v>
                      </c:pt>
                      <c:pt idx="7">
                        <c:v>SPS</c:v>
                      </c:pt>
                      <c:pt idx="8">
                        <c:v>SVM</c:v>
                      </c:pt>
                      <c:pt idx="9">
                        <c:v>SPP</c:v>
                      </c:pt>
                      <c:pt idx="10">
                        <c:v>ZZV</c:v>
                      </c:pt>
                      <c:pt idx="11">
                        <c:v>SDA</c:v>
                      </c:pt>
                      <c:pt idx="12">
                        <c:v>KAD</c:v>
                      </c:pt>
                      <c:pt idx="13">
                        <c:v>SRS</c:v>
                      </c:pt>
                      <c:pt idx="14">
                        <c:v>Ajmo ljudi</c:v>
                      </c:pt>
                      <c:pt idx="15">
                        <c:v>Ruski savez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'Raspodela budžetskog novca '!$H$39:$H$58</c15:sqref>
                        </c15:fullRef>
                        <c15:formulaRef>
                          <c15:sqref>('Raspodela budžetskog novca '!$H$39:$H$45,'Raspodela budžetskog novca '!$H$47:$H$54,'Raspodela budžetskog novca '!$H$58)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1125640944.4400001</c:v>
                      </c:pt>
                      <c:pt idx="1">
                        <c:v>158738527.544</c:v>
                      </c:pt>
                      <c:pt idx="2">
                        <c:v>109534726.68000001</c:v>
                      </c:pt>
                      <c:pt idx="3">
                        <c:v>91848740.120000005</c:v>
                      </c:pt>
                      <c:pt idx="4">
                        <c:v>90407940.120000005</c:v>
                      </c:pt>
                      <c:pt idx="5">
                        <c:v>97928297.744000003</c:v>
                      </c:pt>
                      <c:pt idx="6">
                        <c:v>66627167</c:v>
                      </c:pt>
                      <c:pt idx="7">
                        <c:v>215741940.984</c:v>
                      </c:pt>
                      <c:pt idx="8">
                        <c:v>49269130.872000001</c:v>
                      </c:pt>
                      <c:pt idx="9">
                        <c:v>27634898.936000001</c:v>
                      </c:pt>
                      <c:pt idx="10">
                        <c:v>28891821.623999998</c:v>
                      </c:pt>
                      <c:pt idx="11">
                        <c:v>25337821.623999998</c:v>
                      </c:pt>
                      <c:pt idx="12">
                        <c:v>27288744.311999999</c:v>
                      </c:pt>
                      <c:pt idx="13">
                        <c:v>49010667</c:v>
                      </c:pt>
                      <c:pt idx="14">
                        <c:v>23590167</c:v>
                      </c:pt>
                      <c:pt idx="15">
                        <c:v>20500667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6-CEF9-4FC4-AD5A-996595E27377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504825</xdr:colOff>
      <xdr:row>0</xdr:row>
      <xdr:rowOff>171450</xdr:rowOff>
    </xdr:from>
    <xdr:ext cx="3314700" cy="678511"/>
    <xdr:pic>
      <xdr:nvPicPr>
        <xdr:cNvPr id="2" name="Picture 2">
          <a:extLst>
            <a:ext uri="{FF2B5EF4-FFF2-40B4-BE49-F238E27FC236}">
              <a16:creationId xmlns:a16="http://schemas.microsoft.com/office/drawing/2014/main" id="{1B1992F0-92A3-4B20-8876-DC41C5FB9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171450"/>
          <a:ext cx="3314700" cy="678511"/>
        </a:xfrm>
        <a:prstGeom prst="rect">
          <a:avLst/>
        </a:prstGeom>
      </xdr:spPr>
    </xdr:pic>
    <xdr:clientData/>
  </xdr:oneCellAnchor>
  <xdr:twoCellAnchor>
    <xdr:from>
      <xdr:col>0</xdr:col>
      <xdr:colOff>219073</xdr:colOff>
      <xdr:row>28</xdr:row>
      <xdr:rowOff>57149</xdr:rowOff>
    </xdr:from>
    <xdr:to>
      <xdr:col>8</xdr:col>
      <xdr:colOff>380999</xdr:colOff>
      <xdr:row>56</xdr:row>
      <xdr:rowOff>19050</xdr:rowOff>
    </xdr:to>
    <xdr:graphicFrame macro="">
      <xdr:nvGraphicFramePr>
        <xdr:cNvPr id="3" name="Grafikon 1">
          <a:extLst>
            <a:ext uri="{FF2B5EF4-FFF2-40B4-BE49-F238E27FC236}">
              <a16:creationId xmlns:a16="http://schemas.microsoft.com/office/drawing/2014/main" id="{C02699C4-8479-4AC9-9273-07628EE8B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62</xdr:row>
      <xdr:rowOff>47624</xdr:rowOff>
    </xdr:from>
    <xdr:to>
      <xdr:col>8</xdr:col>
      <xdr:colOff>409575</xdr:colOff>
      <xdr:row>90</xdr:row>
      <xdr:rowOff>57149</xdr:rowOff>
    </xdr:to>
    <xdr:graphicFrame macro="">
      <xdr:nvGraphicFramePr>
        <xdr:cNvPr id="4" name="Grafikon 4">
          <a:extLst>
            <a:ext uri="{FF2B5EF4-FFF2-40B4-BE49-F238E27FC236}">
              <a16:creationId xmlns:a16="http://schemas.microsoft.com/office/drawing/2014/main" id="{13AFACFD-F69C-4D63-BBBE-DDE137359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266700</xdr:colOff>
      <xdr:row>57</xdr:row>
      <xdr:rowOff>19050</xdr:rowOff>
    </xdr:from>
    <xdr:ext cx="3314700" cy="678511"/>
    <xdr:pic>
      <xdr:nvPicPr>
        <xdr:cNvPr id="5" name="Picture 2">
          <a:extLst>
            <a:ext uri="{FF2B5EF4-FFF2-40B4-BE49-F238E27FC236}">
              <a16:creationId xmlns:a16="http://schemas.microsoft.com/office/drawing/2014/main" id="{760B7D86-C933-411A-8A05-E617C811F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2001500"/>
          <a:ext cx="3314700" cy="678511"/>
        </a:xfrm>
        <a:prstGeom prst="rect">
          <a:avLst/>
        </a:prstGeom>
      </xdr:spPr>
    </xdr:pic>
    <xdr:clientData/>
  </xdr:oneCellAnchor>
  <xdr:oneCellAnchor>
    <xdr:from>
      <xdr:col>5</xdr:col>
      <xdr:colOff>57150</xdr:colOff>
      <xdr:row>91</xdr:row>
      <xdr:rowOff>47625</xdr:rowOff>
    </xdr:from>
    <xdr:ext cx="3314700" cy="678511"/>
    <xdr:pic>
      <xdr:nvPicPr>
        <xdr:cNvPr id="6" name="Picture 2">
          <a:extLst>
            <a:ext uri="{FF2B5EF4-FFF2-40B4-BE49-F238E27FC236}">
              <a16:creationId xmlns:a16="http://schemas.microsoft.com/office/drawing/2014/main" id="{8F162AF8-B496-4265-A5D5-A815D4B2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18507075"/>
          <a:ext cx="3314700" cy="67851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34</xdr:row>
      <xdr:rowOff>38100</xdr:rowOff>
    </xdr:from>
    <xdr:to>
      <xdr:col>14</xdr:col>
      <xdr:colOff>219075</xdr:colOff>
      <xdr:row>59</xdr:row>
      <xdr:rowOff>66675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1AE677F-F56A-47F8-8F8A-CDBF25AA6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1990724</xdr:colOff>
      <xdr:row>64</xdr:row>
      <xdr:rowOff>66676</xdr:rowOff>
    </xdr:from>
    <xdr:to>
      <xdr:col>14</xdr:col>
      <xdr:colOff>352424</xdr:colOff>
      <xdr:row>93</xdr:row>
      <xdr:rowOff>171450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EF52384-1079-4E72-9A5E-B8910D2BF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2362200</xdr:colOff>
      <xdr:row>35</xdr:row>
      <xdr:rowOff>104775</xdr:rowOff>
    </xdr:from>
    <xdr:to>
      <xdr:col>16</xdr:col>
      <xdr:colOff>419100</xdr:colOff>
      <xdr:row>60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80E67A4-55A4-4795-92B8-FFC5ADC1E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59</xdr:row>
      <xdr:rowOff>66676</xdr:rowOff>
    </xdr:from>
    <xdr:to>
      <xdr:col>9</xdr:col>
      <xdr:colOff>3733799</xdr:colOff>
      <xdr:row>84</xdr:row>
      <xdr:rowOff>171450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9F44A2F-E63B-4156-A93F-802F93EE4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1725930</xdr:colOff>
      <xdr:row>32</xdr:row>
      <xdr:rowOff>127636</xdr:rowOff>
    </xdr:from>
    <xdr:to>
      <xdr:col>2</xdr:col>
      <xdr:colOff>5573395</xdr:colOff>
      <xdr:row>37</xdr:row>
      <xdr:rowOff>144780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132A45B1-1198-4F70-9AB4-3DD0D218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0470" y="5789296"/>
          <a:ext cx="3847465" cy="931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46</xdr:row>
      <xdr:rowOff>0</xdr:rowOff>
    </xdr:from>
    <xdr:to>
      <xdr:col>2</xdr:col>
      <xdr:colOff>3790950</xdr:colOff>
      <xdr:row>51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BDB896DA-003A-4CB2-8D74-3244751A5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932497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45</xdr:row>
      <xdr:rowOff>0</xdr:rowOff>
    </xdr:from>
    <xdr:to>
      <xdr:col>2</xdr:col>
      <xdr:colOff>3790949</xdr:colOff>
      <xdr:row>51</xdr:row>
      <xdr:rowOff>180975</xdr:rowOff>
    </xdr:to>
    <xdr:pic>
      <xdr:nvPicPr>
        <xdr:cNvPr id="3" name="Picture 2" descr="ts-logo-izbor">
          <a:extLst>
            <a:ext uri="{FF2B5EF4-FFF2-40B4-BE49-F238E27FC236}">
              <a16:creationId xmlns:a16="http://schemas.microsoft.com/office/drawing/2014/main" id="{FB44DB31-0C69-4E87-8AD5-542E1E23B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14524" y="9134475"/>
          <a:ext cx="4962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2362200</xdr:colOff>
      <xdr:row>35</xdr:row>
      <xdr:rowOff>104775</xdr:rowOff>
    </xdr:from>
    <xdr:to>
      <xdr:col>16</xdr:col>
      <xdr:colOff>419100</xdr:colOff>
      <xdr:row>60</xdr:row>
      <xdr:rowOff>133350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9EC380C-D9FE-4BDC-8189-54ECE0BDB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1724024</xdr:colOff>
      <xdr:row>59</xdr:row>
      <xdr:rowOff>161926</xdr:rowOff>
    </xdr:from>
    <xdr:to>
      <xdr:col>14</xdr:col>
      <xdr:colOff>85724</xdr:colOff>
      <xdr:row>85</xdr:row>
      <xdr:rowOff>76200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F131A221-7011-4734-85D0-7FB9EE264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72C41C7F-C7D9-4B7E-BD82-B7B9EB573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17621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56F45570-227C-40CF-85FA-B4EA2493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17621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B8983A3A-BE52-4EDD-BCCB-903F87A57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17621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DB2731B9-2770-4313-9CFF-3ECB549C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17621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95250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CBC2C7D3-04CE-4A1B-A1FA-36499691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12620" y="1653540"/>
          <a:ext cx="50482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1ACAAE16-2AB0-4936-9058-703ED668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1752600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9</xdr:row>
      <xdr:rowOff>0</xdr:rowOff>
    </xdr:from>
    <xdr:to>
      <xdr:col>2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72C64925-7CE3-4739-BF63-CF0261B0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94202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9</xdr:row>
      <xdr:rowOff>0</xdr:rowOff>
    </xdr:from>
    <xdr:to>
      <xdr:col>3</xdr:col>
      <xdr:colOff>3790950</xdr:colOff>
      <xdr:row>14</xdr:row>
      <xdr:rowOff>123825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2BAED5D8-615D-4C8D-98AB-56B1A0B9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0" y="1724025"/>
          <a:ext cx="5010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E888-DDF4-47ED-BA9B-4F7845BEC8B5}">
  <dimension ref="B1:H21"/>
  <sheetViews>
    <sheetView tabSelected="1" topLeftCell="A64" workbookViewId="0">
      <selection activeCell="B1" sqref="B1:H21"/>
    </sheetView>
  </sheetViews>
  <sheetFormatPr defaultColWidth="8.88671875" defaultRowHeight="14.4" x14ac:dyDescent="0.3"/>
  <cols>
    <col min="1" max="1" width="4.5546875" style="79" customWidth="1"/>
    <col min="2" max="2" width="15.6640625" style="79" customWidth="1"/>
    <col min="3" max="3" width="13.109375" style="79" customWidth="1"/>
    <col min="4" max="4" width="10.33203125" style="79" customWidth="1"/>
    <col min="5" max="5" width="19.6640625" style="79" customWidth="1"/>
    <col min="6" max="6" width="15.6640625" style="79" customWidth="1"/>
    <col min="7" max="7" width="15.44140625" style="79" customWidth="1"/>
    <col min="8" max="8" width="13.88671875" style="79" customWidth="1"/>
    <col min="9" max="16384" width="8.88671875" style="79"/>
  </cols>
  <sheetData>
    <row r="1" spans="2:8" ht="42" customHeight="1" x14ac:dyDescent="0.3">
      <c r="B1" s="209" t="s">
        <v>129</v>
      </c>
      <c r="C1" s="210"/>
      <c r="D1" s="187"/>
      <c r="E1" s="200"/>
      <c r="F1" s="201"/>
      <c r="G1" s="201"/>
      <c r="H1" s="202"/>
    </row>
    <row r="2" spans="2:8" ht="25.5" customHeight="1" x14ac:dyDescent="0.3">
      <c r="B2" s="143" t="s">
        <v>4</v>
      </c>
      <c r="C2" s="184" t="s">
        <v>5</v>
      </c>
      <c r="D2" s="188"/>
      <c r="E2" s="203"/>
      <c r="F2" s="204"/>
      <c r="G2" s="204"/>
      <c r="H2" s="205"/>
    </row>
    <row r="3" spans="2:8" ht="15" thickBot="1" x14ac:dyDescent="0.35">
      <c r="B3" s="185">
        <v>1383795000</v>
      </c>
      <c r="C3" s="186">
        <v>11762263.38113169</v>
      </c>
      <c r="D3" s="188"/>
      <c r="E3" s="206"/>
      <c r="F3" s="207"/>
      <c r="G3" s="207"/>
      <c r="H3" s="208"/>
    </row>
    <row r="4" spans="2:8" ht="15" thickBot="1" x14ac:dyDescent="0.35"/>
    <row r="5" spans="2:8" ht="33.6" x14ac:dyDescent="0.4">
      <c r="B5" s="100" t="s">
        <v>102</v>
      </c>
      <c r="C5" s="141" t="s">
        <v>205</v>
      </c>
      <c r="D5" s="142" t="s">
        <v>206</v>
      </c>
      <c r="E5" s="141" t="s">
        <v>165</v>
      </c>
      <c r="F5" s="141" t="s">
        <v>121</v>
      </c>
      <c r="G5" s="141" t="s">
        <v>207</v>
      </c>
      <c r="H5" s="140" t="s">
        <v>208</v>
      </c>
    </row>
    <row r="6" spans="2:8" ht="15" x14ac:dyDescent="0.35">
      <c r="B6" s="139" t="s">
        <v>63</v>
      </c>
      <c r="C6" s="138">
        <v>0.44271751655959068</v>
      </c>
      <c r="D6" s="137">
        <v>1635101</v>
      </c>
      <c r="E6" s="136">
        <v>603822158.39687455</v>
      </c>
      <c r="F6" s="136">
        <v>50318513.199739546</v>
      </c>
      <c r="G6" s="136">
        <v>2415288633.5874982</v>
      </c>
      <c r="H6" s="135">
        <v>20538168.652954917</v>
      </c>
    </row>
    <row r="7" spans="2:8" ht="15" x14ac:dyDescent="0.35">
      <c r="B7" s="139" t="s">
        <v>164</v>
      </c>
      <c r="C7" s="138">
        <v>0.11785414130561922</v>
      </c>
      <c r="D7" s="137">
        <v>435274</v>
      </c>
      <c r="E7" s="136">
        <v>175260870.21250528</v>
      </c>
      <c r="F7" s="136">
        <v>14605072.517708773</v>
      </c>
      <c r="G7" s="136">
        <v>701043480.85002112</v>
      </c>
      <c r="H7" s="135">
        <v>5961254.0888607241</v>
      </c>
    </row>
    <row r="8" spans="2:8" ht="15" x14ac:dyDescent="0.35">
      <c r="B8" s="139" t="s">
        <v>85</v>
      </c>
      <c r="C8" s="138">
        <v>1.6330258238640056E-2</v>
      </c>
      <c r="D8" s="137">
        <v>60313</v>
      </c>
      <c r="E8" s="136">
        <v>32314379.786960453</v>
      </c>
      <c r="F8" s="136">
        <v>2692864.9822467044</v>
      </c>
      <c r="G8" s="136">
        <v>129257519.14784181</v>
      </c>
      <c r="H8" s="135">
        <v>1099128.5641823283</v>
      </c>
    </row>
    <row r="9" spans="2:8" ht="15" x14ac:dyDescent="0.35">
      <c r="B9" s="139" t="s">
        <v>64</v>
      </c>
      <c r="C9" s="138">
        <v>0.14092141288290669</v>
      </c>
      <c r="D9" s="137">
        <v>520469</v>
      </c>
      <c r="E9" s="136">
        <v>205691940.24932984</v>
      </c>
      <c r="F9" s="136">
        <v>17140995.020777486</v>
      </c>
      <c r="G9" s="136">
        <v>822767760.99731934</v>
      </c>
      <c r="H9" s="135">
        <v>6996324.4982765252</v>
      </c>
    </row>
    <row r="10" spans="2:8" ht="15" x14ac:dyDescent="0.35">
      <c r="B10" s="139" t="s">
        <v>84</v>
      </c>
      <c r="C10" s="138">
        <v>5.5354953581160403E-2</v>
      </c>
      <c r="D10" s="137">
        <v>204444</v>
      </c>
      <c r="E10" s="136">
        <v>92812440.836000741</v>
      </c>
      <c r="F10" s="136">
        <v>7734370.0696667284</v>
      </c>
      <c r="G10" s="136">
        <v>371249763.34400296</v>
      </c>
      <c r="H10" s="135">
        <v>3156885.7427211138</v>
      </c>
    </row>
    <row r="11" spans="2:8" ht="15" x14ac:dyDescent="0.35">
      <c r="B11" s="139" t="s">
        <v>67</v>
      </c>
      <c r="C11" s="138">
        <v>3.8238412618646384E-2</v>
      </c>
      <c r="D11" s="137">
        <v>141227</v>
      </c>
      <c r="E11" s="136">
        <v>70232254.729166076</v>
      </c>
      <c r="F11" s="136">
        <v>5852687.8940971727</v>
      </c>
      <c r="G11" s="136">
        <v>280929018.9166643</v>
      </c>
      <c r="H11" s="135">
        <v>2388852.2016723156</v>
      </c>
    </row>
    <row r="12" spans="2:8" ht="15" x14ac:dyDescent="0.35">
      <c r="B12" s="139" t="s">
        <v>95</v>
      </c>
      <c r="C12" s="138">
        <v>9.7066927172458004E-3</v>
      </c>
      <c r="D12" s="137">
        <v>35850</v>
      </c>
      <c r="E12" s="136">
        <v>19207642.056646697</v>
      </c>
      <c r="F12" s="136">
        <v>1600636.8380538914</v>
      </c>
      <c r="G12" s="136">
        <v>76830568.226586789</v>
      </c>
      <c r="H12" s="135">
        <v>653321.15838934353</v>
      </c>
    </row>
    <row r="13" spans="2:8" ht="15" x14ac:dyDescent="0.35">
      <c r="B13" s="139" t="s">
        <v>65</v>
      </c>
      <c r="C13" s="138">
        <v>4.839348143463023E-2</v>
      </c>
      <c r="D13" s="137">
        <v>178733</v>
      </c>
      <c r="E13" s="136">
        <v>83628848.368898124</v>
      </c>
      <c r="F13" s="136">
        <v>6969070.697408177</v>
      </c>
      <c r="G13" s="136">
        <v>334515393.47559249</v>
      </c>
      <c r="H13" s="135">
        <v>2844518.6520033376</v>
      </c>
    </row>
    <row r="14" spans="2:8" ht="15" x14ac:dyDescent="0.35">
      <c r="B14" s="139" t="s">
        <v>163</v>
      </c>
      <c r="C14" s="138">
        <v>3.9195543964684429E-2</v>
      </c>
      <c r="D14" s="137">
        <v>144762</v>
      </c>
      <c r="E14" s="136">
        <v>71494904.932238996</v>
      </c>
      <c r="F14" s="136">
        <v>5957908.7443532497</v>
      </c>
      <c r="G14" s="136">
        <v>285979619.72895598</v>
      </c>
      <c r="H14" s="135">
        <v>2431799.4874911224</v>
      </c>
    </row>
    <row r="15" spans="2:8" ht="15" x14ac:dyDescent="0.35">
      <c r="B15" s="139" t="s">
        <v>86</v>
      </c>
      <c r="C15" s="138">
        <v>6.5047025338664747E-3</v>
      </c>
      <c r="D15" s="137">
        <v>24024</v>
      </c>
      <c r="E15" s="136">
        <v>12871531.179048263</v>
      </c>
      <c r="F15" s="136">
        <v>1072627.598254022</v>
      </c>
      <c r="G15" s="136">
        <v>51486124.71619305</v>
      </c>
      <c r="H15" s="135">
        <v>437807.18296082527</v>
      </c>
    </row>
    <row r="16" spans="2:8" ht="15" x14ac:dyDescent="0.35">
      <c r="B16" s="139" t="s">
        <v>87</v>
      </c>
      <c r="C16" s="138">
        <v>5.5648997327071952E-3</v>
      </c>
      <c r="D16" s="137">
        <v>20553</v>
      </c>
      <c r="E16" s="136">
        <v>11011845.667789666</v>
      </c>
      <c r="F16" s="136">
        <v>917653.80564913887</v>
      </c>
      <c r="G16" s="136">
        <v>44047382.671158664</v>
      </c>
      <c r="H16" s="135">
        <v>374552.57373434241</v>
      </c>
    </row>
    <row r="17" spans="2:8" ht="15" x14ac:dyDescent="0.35">
      <c r="B17" s="139" t="s">
        <v>88</v>
      </c>
      <c r="C17" s="138">
        <v>2.7522602920726238E-3</v>
      </c>
      <c r="D17" s="137">
        <v>10165</v>
      </c>
      <c r="E17" s="136">
        <v>5446183.5845415248</v>
      </c>
      <c r="F17" s="136">
        <v>453848.63204512704</v>
      </c>
      <c r="G17" s="136">
        <v>21784734.338166099</v>
      </c>
      <c r="H17" s="135">
        <v>185244.33961025596</v>
      </c>
    </row>
    <row r="18" spans="2:8" ht="15.6" thickBot="1" x14ac:dyDescent="0.4">
      <c r="B18" s="134" t="s">
        <v>130</v>
      </c>
      <c r="C18" s="133">
        <v>0.92353427586177017</v>
      </c>
      <c r="D18" s="189">
        <f>SUM(D6:D17)</f>
        <v>3410915</v>
      </c>
      <c r="E18" s="132">
        <v>1383795000.0000002</v>
      </c>
      <c r="F18" s="132">
        <v>115316250.00000001</v>
      </c>
      <c r="G18" s="132">
        <v>5535180000.000001</v>
      </c>
      <c r="H18" s="131">
        <v>47067857.142857157</v>
      </c>
    </row>
    <row r="19" spans="2:8" s="171" customFormat="1" ht="15.6" thickBot="1" x14ac:dyDescent="0.4">
      <c r="B19" s="190"/>
      <c r="C19" s="191"/>
      <c r="D19" s="192"/>
      <c r="E19" s="193"/>
      <c r="F19" s="193"/>
      <c r="G19" s="193"/>
      <c r="H19" s="193"/>
    </row>
    <row r="20" spans="2:8" s="171" customFormat="1" x14ac:dyDescent="0.3">
      <c r="B20" s="194" t="s">
        <v>209</v>
      </c>
      <c r="C20" s="195"/>
      <c r="D20" s="195"/>
      <c r="E20" s="195"/>
      <c r="F20" s="195"/>
      <c r="G20" s="195"/>
      <c r="H20" s="196"/>
    </row>
    <row r="21" spans="2:8" s="171" customFormat="1" ht="28.5" customHeight="1" thickBot="1" x14ac:dyDescent="0.35">
      <c r="B21" s="197"/>
      <c r="C21" s="198"/>
      <c r="D21" s="198"/>
      <c r="E21" s="198"/>
      <c r="F21" s="198"/>
      <c r="G21" s="198"/>
      <c r="H21" s="199"/>
    </row>
  </sheetData>
  <mergeCells count="3">
    <mergeCell ref="B20:H21"/>
    <mergeCell ref="E1:H3"/>
    <mergeCell ref="B1:C1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5409-4480-4BC5-BD21-EBE91988FB2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F527-6A83-4097-AC90-855FAC9A3E59}">
  <dimension ref="A1:J106"/>
  <sheetViews>
    <sheetView topLeftCell="A82" workbookViewId="0">
      <selection activeCell="A117" sqref="A117"/>
    </sheetView>
  </sheetViews>
  <sheetFormatPr defaultColWidth="9.109375" defaultRowHeight="14.4" x14ac:dyDescent="0.3"/>
  <cols>
    <col min="1" max="2" width="15.109375" style="79" customWidth="1"/>
    <col min="3" max="3" width="16.44140625" style="79" customWidth="1"/>
    <col min="4" max="4" width="13.6640625" style="79" customWidth="1"/>
    <col min="5" max="6" width="14.33203125" style="79" customWidth="1"/>
    <col min="7" max="7" width="11.44140625" style="79" customWidth="1"/>
    <col min="8" max="8" width="13.5546875" style="79" customWidth="1"/>
    <col min="9" max="9" width="11.6640625" style="79" customWidth="1"/>
    <col min="10" max="10" width="80.44140625" style="79" customWidth="1"/>
    <col min="11" max="16384" width="9.109375" style="79"/>
  </cols>
  <sheetData>
    <row r="1" spans="1:10" ht="28.8" x14ac:dyDescent="0.3">
      <c r="A1" s="82" t="s">
        <v>62</v>
      </c>
      <c r="B1" s="82" t="s">
        <v>81</v>
      </c>
      <c r="C1" s="82" t="s">
        <v>70</v>
      </c>
      <c r="D1" s="82" t="s">
        <v>71</v>
      </c>
      <c r="E1" s="82" t="s">
        <v>73</v>
      </c>
      <c r="F1" s="82" t="s">
        <v>74</v>
      </c>
      <c r="G1" s="82" t="s">
        <v>72</v>
      </c>
      <c r="H1" s="82" t="s">
        <v>75</v>
      </c>
      <c r="I1" s="68" t="s">
        <v>76</v>
      </c>
      <c r="J1" s="68" t="s">
        <v>78</v>
      </c>
    </row>
    <row r="2" spans="1:10" ht="15" thickBot="1" x14ac:dyDescent="0.35">
      <c r="A2" s="82" t="s">
        <v>63</v>
      </c>
      <c r="B2" s="82"/>
      <c r="C2" s="82">
        <v>46126500</v>
      </c>
      <c r="D2" s="82">
        <f>553518000+46126500</f>
        <v>599644500</v>
      </c>
      <c r="E2" s="82">
        <f>C2+D2</f>
        <v>645771000</v>
      </c>
      <c r="F2" s="82">
        <f>E2/117.6594</f>
        <v>5488477.7586831143</v>
      </c>
      <c r="G2" s="82">
        <v>107000000</v>
      </c>
      <c r="H2" s="82">
        <f>E2+G2</f>
        <v>752771000</v>
      </c>
      <c r="I2" s="81">
        <f>H2/117.6594</f>
        <v>6397882.3621402113</v>
      </c>
      <c r="J2" s="80" t="s">
        <v>104</v>
      </c>
    </row>
    <row r="3" spans="1:10" ht="15" thickBot="1" x14ac:dyDescent="0.35">
      <c r="A3" s="82" t="s">
        <v>64</v>
      </c>
      <c r="B3" s="82"/>
      <c r="C3" s="82">
        <v>46126500</v>
      </c>
      <c r="D3" s="82">
        <v>0</v>
      </c>
      <c r="E3" s="82">
        <f t="shared" ref="E3:E9" si="0">C3+D3</f>
        <v>46126500</v>
      </c>
      <c r="F3" s="82">
        <f t="shared" ref="F3:F9" si="1">E3/117.6594</f>
        <v>392034.12562022242</v>
      </c>
      <c r="G3" s="72">
        <v>3311500</v>
      </c>
      <c r="H3" s="82">
        <f t="shared" ref="H3:H9" si="2">E3+G3</f>
        <v>49438000</v>
      </c>
      <c r="I3" s="81">
        <f t="shared" ref="I3:I9" si="3">H3/117.6594</f>
        <v>420178.92323095305</v>
      </c>
      <c r="J3" s="80" t="s">
        <v>104</v>
      </c>
    </row>
    <row r="4" spans="1:10" ht="15" thickBot="1" x14ac:dyDescent="0.35">
      <c r="A4" s="82" t="s">
        <v>84</v>
      </c>
      <c r="B4" s="82"/>
      <c r="C4" s="82">
        <v>46126500</v>
      </c>
      <c r="D4" s="82">
        <v>0</v>
      </c>
      <c r="E4" s="82">
        <f t="shared" si="0"/>
        <v>46126500</v>
      </c>
      <c r="F4" s="82">
        <f t="shared" si="1"/>
        <v>392034.12562022242</v>
      </c>
      <c r="G4" s="73">
        <v>917200</v>
      </c>
      <c r="H4" s="82">
        <f t="shared" si="2"/>
        <v>47043700</v>
      </c>
      <c r="I4" s="81">
        <f t="shared" si="3"/>
        <v>399829.5078846229</v>
      </c>
      <c r="J4" s="80" t="s">
        <v>104</v>
      </c>
    </row>
    <row r="5" spans="1:10" x14ac:dyDescent="0.3">
      <c r="A5" s="82" t="s">
        <v>66</v>
      </c>
      <c r="B5" s="82"/>
      <c r="C5" s="82">
        <v>46126500</v>
      </c>
      <c r="D5" s="82">
        <v>0</v>
      </c>
      <c r="E5" s="82">
        <f t="shared" si="0"/>
        <v>46126500</v>
      </c>
      <c r="F5" s="82">
        <f t="shared" si="1"/>
        <v>392034.12562022242</v>
      </c>
      <c r="G5" s="74">
        <v>116000</v>
      </c>
      <c r="H5" s="82">
        <f t="shared" si="2"/>
        <v>46242500</v>
      </c>
      <c r="I5" s="81">
        <f t="shared" si="3"/>
        <v>393020.02219967125</v>
      </c>
      <c r="J5" s="80" t="s">
        <v>104</v>
      </c>
    </row>
    <row r="6" spans="1:10" ht="15" thickBot="1" x14ac:dyDescent="0.35">
      <c r="A6" s="82" t="s">
        <v>67</v>
      </c>
      <c r="B6" s="82"/>
      <c r="C6" s="82">
        <v>46126500</v>
      </c>
      <c r="D6" s="82">
        <v>0</v>
      </c>
      <c r="E6" s="82">
        <f t="shared" si="0"/>
        <v>46126500</v>
      </c>
      <c r="F6" s="82">
        <f t="shared" si="1"/>
        <v>392034.12562022242</v>
      </c>
      <c r="G6" s="75">
        <v>0</v>
      </c>
      <c r="H6" s="82">
        <f t="shared" si="2"/>
        <v>46126500</v>
      </c>
      <c r="I6" s="81">
        <f t="shared" si="3"/>
        <v>392034.12562022242</v>
      </c>
      <c r="J6" s="80" t="s">
        <v>99</v>
      </c>
    </row>
    <row r="7" spans="1:10" x14ac:dyDescent="0.3">
      <c r="A7" s="82" t="s">
        <v>65</v>
      </c>
      <c r="B7" s="82"/>
      <c r="C7" s="82">
        <v>46126500</v>
      </c>
      <c r="D7" s="82">
        <v>0</v>
      </c>
      <c r="E7" s="82">
        <f t="shared" si="0"/>
        <v>46126500</v>
      </c>
      <c r="F7" s="82">
        <f t="shared" si="1"/>
        <v>392034.12562022242</v>
      </c>
      <c r="G7" s="74">
        <v>544700</v>
      </c>
      <c r="H7" s="82">
        <f t="shared" si="2"/>
        <v>46671200</v>
      </c>
      <c r="I7" s="81">
        <f t="shared" si="3"/>
        <v>396663.58998941007</v>
      </c>
      <c r="J7" s="80" t="s">
        <v>104</v>
      </c>
    </row>
    <row r="8" spans="1:10" x14ac:dyDescent="0.3">
      <c r="A8" s="82" t="s">
        <v>68</v>
      </c>
      <c r="B8" s="82"/>
      <c r="C8" s="82">
        <v>46126500</v>
      </c>
      <c r="D8" s="82">
        <v>0</v>
      </c>
      <c r="E8" s="82">
        <f t="shared" si="0"/>
        <v>46126500</v>
      </c>
      <c r="F8" s="82">
        <f t="shared" si="1"/>
        <v>392034.12562022242</v>
      </c>
      <c r="G8" s="75">
        <v>0</v>
      </c>
      <c r="H8" s="82">
        <f t="shared" si="2"/>
        <v>46126500</v>
      </c>
      <c r="I8" s="81">
        <f t="shared" si="3"/>
        <v>392034.12562022242</v>
      </c>
      <c r="J8" s="80" t="s">
        <v>99</v>
      </c>
    </row>
    <row r="9" spans="1:10" x14ac:dyDescent="0.3">
      <c r="A9" s="82" t="s">
        <v>69</v>
      </c>
      <c r="B9" s="82"/>
      <c r="C9" s="82">
        <v>0</v>
      </c>
      <c r="D9" s="82">
        <v>0</v>
      </c>
      <c r="E9" s="82">
        <f t="shared" si="0"/>
        <v>0</v>
      </c>
      <c r="F9" s="82">
        <f t="shared" si="1"/>
        <v>0</v>
      </c>
      <c r="G9" s="75">
        <v>0</v>
      </c>
      <c r="H9" s="82">
        <f t="shared" si="2"/>
        <v>0</v>
      </c>
      <c r="I9" s="81">
        <f t="shared" si="3"/>
        <v>0</v>
      </c>
      <c r="J9" s="80" t="s">
        <v>105</v>
      </c>
    </row>
    <row r="10" spans="1:10" x14ac:dyDescent="0.3">
      <c r="A10" s="76" t="s">
        <v>77</v>
      </c>
      <c r="B10" s="76"/>
      <c r="C10" s="77">
        <f>SUM(C2:C9)</f>
        <v>322885500</v>
      </c>
      <c r="D10" s="77">
        <f t="shared" ref="D10:I10" si="4">SUM(D2:D9)</f>
        <v>599644500</v>
      </c>
      <c r="E10" s="77">
        <f t="shared" si="4"/>
        <v>922530000</v>
      </c>
      <c r="F10" s="77">
        <f t="shared" si="4"/>
        <v>7840682.5124044502</v>
      </c>
      <c r="G10" s="77">
        <f t="shared" si="4"/>
        <v>111889400</v>
      </c>
      <c r="H10" s="77">
        <f t="shared" si="4"/>
        <v>1034419400</v>
      </c>
      <c r="I10" s="77">
        <f t="shared" si="4"/>
        <v>8791642.6566853113</v>
      </c>
      <c r="J10" s="80"/>
    </row>
    <row r="12" spans="1:10" ht="28.8" x14ac:dyDescent="0.3">
      <c r="A12" s="70" t="s">
        <v>79</v>
      </c>
      <c r="B12" s="82" t="s">
        <v>82</v>
      </c>
      <c r="C12" s="82" t="s">
        <v>70</v>
      </c>
      <c r="D12" s="82" t="s">
        <v>71</v>
      </c>
      <c r="E12" s="82" t="s">
        <v>73</v>
      </c>
      <c r="F12" s="82" t="s">
        <v>74</v>
      </c>
      <c r="G12" s="82" t="s">
        <v>72</v>
      </c>
      <c r="H12" s="82" t="s">
        <v>75</v>
      </c>
      <c r="I12" s="70" t="s">
        <v>76</v>
      </c>
      <c r="J12" s="70" t="s">
        <v>78</v>
      </c>
    </row>
    <row r="13" spans="1:10" x14ac:dyDescent="0.3">
      <c r="A13" s="70" t="s">
        <v>80</v>
      </c>
      <c r="B13" s="82">
        <v>120</v>
      </c>
      <c r="C13" s="82">
        <v>20500667</v>
      </c>
      <c r="D13" s="82">
        <f>(922530000-(18*20500667)+20500667+20500667)/250*B13</f>
        <v>285369277.44</v>
      </c>
      <c r="E13" s="82">
        <f>C13+D13</f>
        <v>305869944.44</v>
      </c>
      <c r="F13" s="82">
        <f>E13/117.6594</f>
        <v>2599621.8274103045</v>
      </c>
      <c r="G13" s="78">
        <v>67000000</v>
      </c>
      <c r="H13" s="82">
        <f>G13+E13</f>
        <v>372869944.44</v>
      </c>
      <c r="I13" s="82">
        <f>H13/117.6594</f>
        <v>3169062.0931264311</v>
      </c>
      <c r="J13" s="80" t="s">
        <v>104</v>
      </c>
    </row>
    <row r="14" spans="1:10" x14ac:dyDescent="0.3">
      <c r="A14" s="70" t="s">
        <v>64</v>
      </c>
      <c r="B14" s="82">
        <v>38</v>
      </c>
      <c r="C14" s="82">
        <v>20500667</v>
      </c>
      <c r="D14" s="82">
        <f t="shared" ref="D14:D31" si="5">(922530000-(18*20500667)+20500667+20500667)/250*B14</f>
        <v>90366937.855999991</v>
      </c>
      <c r="E14" s="82">
        <f t="shared" ref="E14:E31" si="6">C14+D14</f>
        <v>110867604.85599999</v>
      </c>
      <c r="F14" s="82">
        <f t="shared" ref="F14:F31" si="7">E14/117.6594</f>
        <v>942275.79654494231</v>
      </c>
      <c r="G14" s="83">
        <v>811000</v>
      </c>
      <c r="H14" s="82">
        <f t="shared" ref="H14:H31" si="8">G14+E14</f>
        <v>111678604.85599999</v>
      </c>
      <c r="I14" s="82">
        <f t="shared" ref="I14:I31" si="9">H14/117.6594</f>
        <v>949168.57349264051</v>
      </c>
      <c r="J14" s="80" t="s">
        <v>104</v>
      </c>
    </row>
    <row r="15" spans="1:10" x14ac:dyDescent="0.3">
      <c r="A15" s="70" t="s">
        <v>83</v>
      </c>
      <c r="B15" s="82">
        <v>31</v>
      </c>
      <c r="C15" s="82">
        <v>20500667</v>
      </c>
      <c r="D15" s="82">
        <f t="shared" si="5"/>
        <v>73720396.671999991</v>
      </c>
      <c r="E15" s="82">
        <f t="shared" si="6"/>
        <v>94221063.671999991</v>
      </c>
      <c r="F15" s="82">
        <f t="shared" si="7"/>
        <v>800795.03781253332</v>
      </c>
      <c r="G15" s="84">
        <v>119142800</v>
      </c>
      <c r="H15" s="82">
        <f t="shared" si="8"/>
        <v>213363863.67199999</v>
      </c>
      <c r="I15" s="82">
        <f t="shared" si="9"/>
        <v>1813402.6152776573</v>
      </c>
      <c r="J15" s="80" t="s">
        <v>104</v>
      </c>
    </row>
    <row r="16" spans="1:10" x14ac:dyDescent="0.3">
      <c r="A16" s="70" t="s">
        <v>84</v>
      </c>
      <c r="B16" s="82">
        <v>15</v>
      </c>
      <c r="C16" s="82">
        <v>20500667</v>
      </c>
      <c r="D16" s="82">
        <f t="shared" si="5"/>
        <v>35671159.68</v>
      </c>
      <c r="E16" s="82">
        <f t="shared" si="6"/>
        <v>56171826.68</v>
      </c>
      <c r="F16" s="82">
        <f t="shared" si="7"/>
        <v>477410.44642417011</v>
      </c>
      <c r="G16" s="83">
        <v>6319200</v>
      </c>
      <c r="H16" s="82">
        <f t="shared" si="8"/>
        <v>62491026.68</v>
      </c>
      <c r="I16" s="82">
        <f t="shared" si="9"/>
        <v>531118.01250048866</v>
      </c>
      <c r="J16" s="80" t="s">
        <v>104</v>
      </c>
    </row>
    <row r="17" spans="1:10" x14ac:dyDescent="0.3">
      <c r="A17" s="70" t="s">
        <v>65</v>
      </c>
      <c r="B17" s="82">
        <v>13</v>
      </c>
      <c r="C17" s="82">
        <v>20500667</v>
      </c>
      <c r="D17" s="82">
        <f t="shared" si="5"/>
        <v>30915005.055999998</v>
      </c>
      <c r="E17" s="82">
        <f t="shared" si="6"/>
        <v>51415672.055999994</v>
      </c>
      <c r="F17" s="82">
        <f t="shared" si="7"/>
        <v>436987.37250062462</v>
      </c>
      <c r="G17" s="83">
        <v>2219503</v>
      </c>
      <c r="H17" s="82">
        <f t="shared" si="8"/>
        <v>53635175.055999994</v>
      </c>
      <c r="I17" s="82">
        <f t="shared" si="9"/>
        <v>455851.16918835207</v>
      </c>
      <c r="J17" s="80" t="s">
        <v>104</v>
      </c>
    </row>
    <row r="18" spans="1:10" x14ac:dyDescent="0.3">
      <c r="A18" s="70" t="s">
        <v>66</v>
      </c>
      <c r="B18" s="82">
        <v>10</v>
      </c>
      <c r="C18" s="82">
        <v>20500667</v>
      </c>
      <c r="D18" s="82">
        <f t="shared" si="5"/>
        <v>23780773.119999997</v>
      </c>
      <c r="E18" s="82">
        <f t="shared" si="6"/>
        <v>44281440.119999997</v>
      </c>
      <c r="F18" s="82">
        <f t="shared" si="7"/>
        <v>376352.76161530649</v>
      </c>
      <c r="G18" s="84">
        <v>1324800</v>
      </c>
      <c r="H18" s="82">
        <f t="shared" si="8"/>
        <v>45606240.119999997</v>
      </c>
      <c r="I18" s="82">
        <f t="shared" si="9"/>
        <v>387612.38048128749</v>
      </c>
      <c r="J18" s="80" t="s">
        <v>104</v>
      </c>
    </row>
    <row r="19" spans="1:10" x14ac:dyDescent="0.3">
      <c r="A19" s="70" t="s">
        <v>67</v>
      </c>
      <c r="B19" s="82">
        <v>10</v>
      </c>
      <c r="C19" s="82">
        <v>20500667</v>
      </c>
      <c r="D19" s="82">
        <f t="shared" si="5"/>
        <v>23780773.119999997</v>
      </c>
      <c r="E19" s="82">
        <f t="shared" si="6"/>
        <v>44281440.119999997</v>
      </c>
      <c r="F19" s="82">
        <f t="shared" si="7"/>
        <v>376352.76161530649</v>
      </c>
      <c r="G19" s="83">
        <v>0</v>
      </c>
      <c r="H19" s="82">
        <f t="shared" si="8"/>
        <v>44281440.119999997</v>
      </c>
      <c r="I19" s="82">
        <f t="shared" si="9"/>
        <v>376352.76161530649</v>
      </c>
      <c r="J19" s="82" t="s">
        <v>98</v>
      </c>
    </row>
    <row r="20" spans="1:10" x14ac:dyDescent="0.3">
      <c r="A20" s="70" t="s">
        <v>85</v>
      </c>
      <c r="B20" s="82">
        <v>5</v>
      </c>
      <c r="C20" s="82">
        <v>20500667</v>
      </c>
      <c r="D20" s="82">
        <f t="shared" si="5"/>
        <v>11890386.559999999</v>
      </c>
      <c r="E20" s="82">
        <f t="shared" si="6"/>
        <v>32391053.559999999</v>
      </c>
      <c r="F20" s="82">
        <f t="shared" si="7"/>
        <v>275295.07680644299</v>
      </c>
      <c r="G20" s="85">
        <v>14500000</v>
      </c>
      <c r="H20" s="82">
        <f t="shared" si="8"/>
        <v>46891053.560000002</v>
      </c>
      <c r="I20" s="82">
        <f t="shared" si="9"/>
        <v>398532.14923754497</v>
      </c>
      <c r="J20" s="80" t="s">
        <v>104</v>
      </c>
    </row>
    <row r="21" spans="1:10" ht="15" thickBot="1" x14ac:dyDescent="0.35">
      <c r="A21" s="70" t="s">
        <v>95</v>
      </c>
      <c r="B21" s="82">
        <v>3</v>
      </c>
      <c r="C21" s="82">
        <v>20500667</v>
      </c>
      <c r="D21" s="82">
        <f t="shared" si="5"/>
        <v>7134231.9359999998</v>
      </c>
      <c r="E21" s="82">
        <f t="shared" si="6"/>
        <v>27634898.936000001</v>
      </c>
      <c r="F21" s="82">
        <f t="shared" si="7"/>
        <v>234872.00288289759</v>
      </c>
      <c r="G21" s="83">
        <v>0</v>
      </c>
      <c r="H21" s="82">
        <f t="shared" si="8"/>
        <v>27634898.936000001</v>
      </c>
      <c r="I21" s="82">
        <f t="shared" si="9"/>
        <v>234872.00288289759</v>
      </c>
      <c r="J21" s="80" t="s">
        <v>107</v>
      </c>
    </row>
    <row r="22" spans="1:10" ht="15" thickBot="1" x14ac:dyDescent="0.35">
      <c r="A22" s="70" t="s">
        <v>86</v>
      </c>
      <c r="B22" s="82">
        <v>2</v>
      </c>
      <c r="C22" s="82">
        <v>20500667</v>
      </c>
      <c r="D22" s="82">
        <f t="shared" si="5"/>
        <v>4756154.6239999998</v>
      </c>
      <c r="E22" s="82">
        <f t="shared" si="6"/>
        <v>25256821.623999998</v>
      </c>
      <c r="F22" s="82">
        <f t="shared" si="7"/>
        <v>214660.46592112485</v>
      </c>
      <c r="G22" s="86">
        <v>3635000</v>
      </c>
      <c r="H22" s="82">
        <f t="shared" si="8"/>
        <v>28891821.623999998</v>
      </c>
      <c r="I22" s="82">
        <f t="shared" si="9"/>
        <v>245554.72511333559</v>
      </c>
      <c r="J22" s="80" t="s">
        <v>104</v>
      </c>
    </row>
    <row r="23" spans="1:10" x14ac:dyDescent="0.3">
      <c r="A23" s="70" t="s">
        <v>87</v>
      </c>
      <c r="B23" s="82">
        <v>2</v>
      </c>
      <c r="C23" s="82">
        <v>20500667</v>
      </c>
      <c r="D23" s="82">
        <f t="shared" si="5"/>
        <v>4756154.6239999998</v>
      </c>
      <c r="E23" s="82">
        <f t="shared" si="6"/>
        <v>25256821.623999998</v>
      </c>
      <c r="F23" s="82">
        <f t="shared" si="7"/>
        <v>214660.46592112485</v>
      </c>
      <c r="G23" s="84">
        <v>81000</v>
      </c>
      <c r="H23" s="82">
        <f t="shared" si="8"/>
        <v>25337821.623999998</v>
      </c>
      <c r="I23" s="82">
        <f t="shared" si="9"/>
        <v>215348.89370505032</v>
      </c>
      <c r="J23" s="80" t="s">
        <v>104</v>
      </c>
    </row>
    <row r="24" spans="1:10" x14ac:dyDescent="0.3">
      <c r="A24" s="70" t="s">
        <v>88</v>
      </c>
      <c r="B24" s="82">
        <v>1</v>
      </c>
      <c r="C24" s="82">
        <v>20500667</v>
      </c>
      <c r="D24" s="82">
        <f t="shared" si="5"/>
        <v>2378077.3119999999</v>
      </c>
      <c r="E24" s="82">
        <f t="shared" si="6"/>
        <v>22878744.311999999</v>
      </c>
      <c r="F24" s="82">
        <f t="shared" si="7"/>
        <v>194448.92895935214</v>
      </c>
      <c r="G24" s="83">
        <v>4410000</v>
      </c>
      <c r="H24" s="82">
        <f t="shared" si="8"/>
        <v>27288744.311999999</v>
      </c>
      <c r="I24" s="82">
        <f t="shared" si="9"/>
        <v>231929.99719529419</v>
      </c>
      <c r="J24" s="80" t="s">
        <v>104</v>
      </c>
    </row>
    <row r="25" spans="1:10" x14ac:dyDescent="0.3">
      <c r="A25" s="70" t="s">
        <v>68</v>
      </c>
      <c r="B25" s="82">
        <v>0</v>
      </c>
      <c r="C25" s="82">
        <v>20500667</v>
      </c>
      <c r="D25" s="82">
        <f t="shared" si="5"/>
        <v>0</v>
      </c>
      <c r="E25" s="82">
        <f t="shared" si="6"/>
        <v>20500667</v>
      </c>
      <c r="F25" s="82">
        <f t="shared" si="7"/>
        <v>174237.39199757946</v>
      </c>
      <c r="G25" s="83">
        <v>0</v>
      </c>
      <c r="H25" s="82">
        <f t="shared" si="8"/>
        <v>20500667</v>
      </c>
      <c r="I25" s="82">
        <f t="shared" si="9"/>
        <v>174237.39199757946</v>
      </c>
      <c r="J25" s="82" t="s">
        <v>98</v>
      </c>
    </row>
    <row r="26" spans="1:10" x14ac:dyDescent="0.3">
      <c r="A26" s="70" t="s">
        <v>89</v>
      </c>
      <c r="B26" s="82">
        <v>0</v>
      </c>
      <c r="C26" s="82">
        <v>20500667</v>
      </c>
      <c r="D26" s="82">
        <f t="shared" si="5"/>
        <v>0</v>
      </c>
      <c r="E26" s="82">
        <f t="shared" si="6"/>
        <v>20500667</v>
      </c>
      <c r="F26" s="82">
        <f t="shared" si="7"/>
        <v>174237.39199757946</v>
      </c>
      <c r="G26" s="85">
        <v>28510000</v>
      </c>
      <c r="H26" s="82">
        <f t="shared" si="8"/>
        <v>49010667</v>
      </c>
      <c r="I26" s="82">
        <f t="shared" si="9"/>
        <v>416546.97372245649</v>
      </c>
      <c r="J26" s="80" t="s">
        <v>104</v>
      </c>
    </row>
    <row r="27" spans="1:10" x14ac:dyDescent="0.3">
      <c r="A27" s="70" t="s">
        <v>90</v>
      </c>
      <c r="B27" s="82">
        <v>0</v>
      </c>
      <c r="C27" s="82">
        <v>20500667</v>
      </c>
      <c r="D27" s="82">
        <f t="shared" si="5"/>
        <v>0</v>
      </c>
      <c r="E27" s="82">
        <f t="shared" si="6"/>
        <v>20500667</v>
      </c>
      <c r="F27" s="82">
        <f t="shared" si="7"/>
        <v>174237.39199757946</v>
      </c>
      <c r="G27" s="84">
        <v>3089500</v>
      </c>
      <c r="H27" s="82">
        <f t="shared" si="8"/>
        <v>23590167</v>
      </c>
      <c r="I27" s="82">
        <f t="shared" si="9"/>
        <v>200495.38753384768</v>
      </c>
      <c r="J27" s="80" t="s">
        <v>104</v>
      </c>
    </row>
    <row r="28" spans="1:10" x14ac:dyDescent="0.3">
      <c r="A28" s="70" t="s">
        <v>91</v>
      </c>
      <c r="B28" s="82">
        <v>0</v>
      </c>
      <c r="C28" s="82">
        <v>0</v>
      </c>
      <c r="D28" s="82">
        <f t="shared" si="5"/>
        <v>0</v>
      </c>
      <c r="E28" s="82">
        <f t="shared" si="6"/>
        <v>0</v>
      </c>
      <c r="F28" s="82">
        <f t="shared" si="7"/>
        <v>0</v>
      </c>
      <c r="G28" s="71">
        <v>0</v>
      </c>
      <c r="H28" s="82">
        <f t="shared" si="8"/>
        <v>0</v>
      </c>
      <c r="I28" s="82">
        <f t="shared" si="9"/>
        <v>0</v>
      </c>
      <c r="J28" s="82" t="s">
        <v>96</v>
      </c>
    </row>
    <row r="29" spans="1:10" ht="18" customHeight="1" x14ac:dyDescent="0.3">
      <c r="A29" s="70" t="s">
        <v>92</v>
      </c>
      <c r="B29" s="82">
        <v>0</v>
      </c>
      <c r="C29" s="82">
        <v>0</v>
      </c>
      <c r="D29" s="82">
        <f t="shared" si="5"/>
        <v>0</v>
      </c>
      <c r="E29" s="82">
        <f t="shared" si="6"/>
        <v>0</v>
      </c>
      <c r="F29" s="82">
        <f t="shared" si="7"/>
        <v>0</v>
      </c>
      <c r="G29" s="82">
        <v>0</v>
      </c>
      <c r="H29" s="82">
        <f t="shared" si="8"/>
        <v>0</v>
      </c>
      <c r="I29" s="82">
        <f t="shared" si="9"/>
        <v>0</v>
      </c>
      <c r="J29" s="82" t="s">
        <v>106</v>
      </c>
    </row>
    <row r="30" spans="1:10" ht="19.5" customHeight="1" x14ac:dyDescent="0.3">
      <c r="A30" s="70" t="s">
        <v>93</v>
      </c>
      <c r="B30" s="82">
        <v>0</v>
      </c>
      <c r="C30" s="82">
        <v>0</v>
      </c>
      <c r="D30" s="82">
        <f t="shared" si="5"/>
        <v>0</v>
      </c>
      <c r="E30" s="82">
        <f t="shared" si="6"/>
        <v>0</v>
      </c>
      <c r="F30" s="82">
        <f t="shared" si="7"/>
        <v>0</v>
      </c>
      <c r="G30" s="82">
        <v>0</v>
      </c>
      <c r="H30" s="82">
        <f t="shared" si="8"/>
        <v>0</v>
      </c>
      <c r="I30" s="82">
        <f t="shared" si="9"/>
        <v>0</v>
      </c>
      <c r="J30" s="82" t="s">
        <v>106</v>
      </c>
    </row>
    <row r="31" spans="1:10" x14ac:dyDescent="0.3">
      <c r="A31" s="70" t="s">
        <v>94</v>
      </c>
      <c r="B31" s="82">
        <v>0</v>
      </c>
      <c r="C31" s="82">
        <v>20500667</v>
      </c>
      <c r="D31" s="82">
        <f t="shared" si="5"/>
        <v>0</v>
      </c>
      <c r="E31" s="82">
        <f t="shared" si="6"/>
        <v>20500667</v>
      </c>
      <c r="F31" s="82">
        <f t="shared" si="7"/>
        <v>174237.39199757946</v>
      </c>
      <c r="G31" s="82">
        <v>0</v>
      </c>
      <c r="H31" s="82">
        <f t="shared" si="8"/>
        <v>20500667</v>
      </c>
      <c r="I31" s="82">
        <f t="shared" si="9"/>
        <v>174237.39199757946</v>
      </c>
      <c r="J31" s="82" t="s">
        <v>97</v>
      </c>
    </row>
    <row r="32" spans="1:10" x14ac:dyDescent="0.3">
      <c r="A32" s="76" t="s">
        <v>77</v>
      </c>
      <c r="B32" s="88">
        <f>SUM(B13:B31)</f>
        <v>250</v>
      </c>
      <c r="C32" s="88">
        <f t="shared" ref="C32:I32" si="10">SUM(C13:C31)</f>
        <v>328010672</v>
      </c>
      <c r="D32" s="88">
        <f t="shared" si="10"/>
        <v>594519327.99999988</v>
      </c>
      <c r="E32" s="88">
        <f t="shared" si="10"/>
        <v>922529999.99999988</v>
      </c>
      <c r="F32" s="88">
        <f t="shared" si="10"/>
        <v>7840682.5124044474</v>
      </c>
      <c r="G32" s="88">
        <f t="shared" si="10"/>
        <v>251042803</v>
      </c>
      <c r="H32" s="88">
        <f t="shared" si="10"/>
        <v>1173572803</v>
      </c>
      <c r="I32" s="88">
        <f t="shared" si="10"/>
        <v>9974322.5190677494</v>
      </c>
      <c r="J32" s="82"/>
    </row>
    <row r="34" spans="1:9" ht="43.2" x14ac:dyDescent="0.3">
      <c r="A34" s="76" t="s">
        <v>101</v>
      </c>
      <c r="B34" s="87"/>
      <c r="C34" s="88" t="s">
        <v>70</v>
      </c>
      <c r="D34" s="88" t="s">
        <v>71</v>
      </c>
      <c r="E34" s="88" t="s">
        <v>73</v>
      </c>
      <c r="F34" s="88" t="s">
        <v>74</v>
      </c>
      <c r="G34" s="88" t="s">
        <v>72</v>
      </c>
      <c r="H34" s="88" t="s">
        <v>75</v>
      </c>
      <c r="I34" s="76" t="s">
        <v>76</v>
      </c>
    </row>
    <row r="35" spans="1:9" x14ac:dyDescent="0.3">
      <c r="A35" s="76" t="s">
        <v>100</v>
      </c>
      <c r="B35" s="87"/>
      <c r="C35" s="77">
        <f>C10+C32</f>
        <v>650896172</v>
      </c>
      <c r="D35" s="77">
        <f t="shared" ref="D35:I35" si="11">D10+D32</f>
        <v>1194163828</v>
      </c>
      <c r="E35" s="77">
        <f t="shared" si="11"/>
        <v>1845060000</v>
      </c>
      <c r="F35" s="77">
        <f t="shared" si="11"/>
        <v>15681365.024808899</v>
      </c>
      <c r="G35" s="77">
        <f t="shared" si="11"/>
        <v>362932203</v>
      </c>
      <c r="H35" s="77">
        <f t="shared" si="11"/>
        <v>2207992203</v>
      </c>
      <c r="I35" s="77">
        <f t="shared" si="11"/>
        <v>18765965.175753061</v>
      </c>
    </row>
    <row r="36" spans="1:9" x14ac:dyDescent="0.3">
      <c r="A36" s="89"/>
      <c r="B36" s="90"/>
      <c r="C36" s="91"/>
      <c r="D36" s="91"/>
      <c r="E36" s="91"/>
      <c r="F36" s="91"/>
      <c r="G36" s="91"/>
      <c r="H36" s="91"/>
      <c r="I36" s="91"/>
    </row>
    <row r="37" spans="1:9" x14ac:dyDescent="0.3">
      <c r="A37" s="215" t="s">
        <v>103</v>
      </c>
      <c r="B37" s="215"/>
      <c r="C37" s="215"/>
      <c r="D37" s="215"/>
      <c r="E37" s="215"/>
      <c r="F37" s="215"/>
      <c r="G37" s="215"/>
      <c r="H37" s="215"/>
      <c r="I37" s="215"/>
    </row>
    <row r="38" spans="1:9" ht="43.2" x14ac:dyDescent="0.3">
      <c r="A38" s="76" t="s">
        <v>102</v>
      </c>
      <c r="B38" s="87" t="s">
        <v>82</v>
      </c>
      <c r="C38" s="88" t="s">
        <v>70</v>
      </c>
      <c r="D38" s="88" t="s">
        <v>71</v>
      </c>
      <c r="E38" s="88" t="s">
        <v>73</v>
      </c>
      <c r="F38" s="88" t="s">
        <v>74</v>
      </c>
      <c r="G38" s="88" t="s">
        <v>72</v>
      </c>
      <c r="H38" s="88" t="s">
        <v>75</v>
      </c>
      <c r="I38" s="76" t="s">
        <v>76</v>
      </c>
    </row>
    <row r="39" spans="1:9" x14ac:dyDescent="0.3">
      <c r="A39" s="82" t="s">
        <v>63</v>
      </c>
      <c r="B39" s="81">
        <f>B13+B2</f>
        <v>120</v>
      </c>
      <c r="C39" s="81">
        <f t="shared" ref="C39:I40" si="12">C13+C2</f>
        <v>66627167</v>
      </c>
      <c r="D39" s="81">
        <f t="shared" si="12"/>
        <v>885013777.44000006</v>
      </c>
      <c r="E39" s="81">
        <f t="shared" si="12"/>
        <v>951640944.44000006</v>
      </c>
      <c r="F39" s="81">
        <f t="shared" si="12"/>
        <v>8088099.5860934183</v>
      </c>
      <c r="G39" s="81">
        <f t="shared" si="12"/>
        <v>174000000</v>
      </c>
      <c r="H39" s="81">
        <f t="shared" si="12"/>
        <v>1125640944.4400001</v>
      </c>
      <c r="I39" s="81">
        <f t="shared" si="12"/>
        <v>9566944.4552666433</v>
      </c>
    </row>
    <row r="40" spans="1:9" x14ac:dyDescent="0.3">
      <c r="A40" s="82" t="s">
        <v>64</v>
      </c>
      <c r="B40" s="81">
        <f>B14+B3</f>
        <v>38</v>
      </c>
      <c r="C40" s="81">
        <f t="shared" si="12"/>
        <v>66627167</v>
      </c>
      <c r="D40" s="81">
        <f t="shared" si="12"/>
        <v>90366937.855999991</v>
      </c>
      <c r="E40" s="81">
        <f t="shared" si="12"/>
        <v>156994104.85600001</v>
      </c>
      <c r="F40" s="81">
        <f t="shared" si="12"/>
        <v>1334309.9221651647</v>
      </c>
      <c r="G40" s="81">
        <f t="shared" si="12"/>
        <v>4122500</v>
      </c>
      <c r="H40" s="81">
        <f t="shared" si="12"/>
        <v>161116604.85600001</v>
      </c>
      <c r="I40" s="81">
        <f t="shared" si="12"/>
        <v>1369347.4967235937</v>
      </c>
    </row>
    <row r="41" spans="1:9" x14ac:dyDescent="0.3">
      <c r="A41" s="82" t="s">
        <v>84</v>
      </c>
      <c r="B41" s="81">
        <f>B16+B4</f>
        <v>15</v>
      </c>
      <c r="C41" s="81">
        <f t="shared" ref="C41:I41" si="13">C16+C4</f>
        <v>66627167</v>
      </c>
      <c r="D41" s="81">
        <f t="shared" si="13"/>
        <v>35671159.68</v>
      </c>
      <c r="E41" s="81">
        <f t="shared" si="13"/>
        <v>102298326.68000001</v>
      </c>
      <c r="F41" s="81">
        <f t="shared" si="13"/>
        <v>869444.57204439258</v>
      </c>
      <c r="G41" s="81">
        <f t="shared" si="13"/>
        <v>7236400</v>
      </c>
      <c r="H41" s="81">
        <f t="shared" si="13"/>
        <v>109534726.68000001</v>
      </c>
      <c r="I41" s="81">
        <f t="shared" si="13"/>
        <v>930947.52038511157</v>
      </c>
    </row>
    <row r="42" spans="1:9" x14ac:dyDescent="0.3">
      <c r="A42" s="82" t="s">
        <v>66</v>
      </c>
      <c r="B42" s="81">
        <f>B18+B5</f>
        <v>10</v>
      </c>
      <c r="C42" s="81">
        <f t="shared" ref="C42:I43" si="14">C18+C5</f>
        <v>66627167</v>
      </c>
      <c r="D42" s="81">
        <f t="shared" si="14"/>
        <v>23780773.119999997</v>
      </c>
      <c r="E42" s="81">
        <f t="shared" si="14"/>
        <v>90407940.120000005</v>
      </c>
      <c r="F42" s="81">
        <f t="shared" si="14"/>
        <v>768386.88723552891</v>
      </c>
      <c r="G42" s="81">
        <f t="shared" si="14"/>
        <v>1440800</v>
      </c>
      <c r="H42" s="81">
        <f t="shared" si="14"/>
        <v>91848740.120000005</v>
      </c>
      <c r="I42" s="81">
        <f t="shared" si="14"/>
        <v>780632.40268095874</v>
      </c>
    </row>
    <row r="43" spans="1:9" x14ac:dyDescent="0.3">
      <c r="A43" s="82" t="s">
        <v>67</v>
      </c>
      <c r="B43" s="81">
        <f>B19+B6</f>
        <v>10</v>
      </c>
      <c r="C43" s="81">
        <f t="shared" si="14"/>
        <v>66627167</v>
      </c>
      <c r="D43" s="81">
        <f t="shared" si="14"/>
        <v>23780773.119999997</v>
      </c>
      <c r="E43" s="81">
        <f t="shared" si="14"/>
        <v>90407940.120000005</v>
      </c>
      <c r="F43" s="81">
        <f t="shared" si="14"/>
        <v>768386.88723552891</v>
      </c>
      <c r="G43" s="81">
        <f t="shared" si="14"/>
        <v>0</v>
      </c>
      <c r="H43" s="81">
        <f t="shared" si="14"/>
        <v>90407940.120000005</v>
      </c>
      <c r="I43" s="81">
        <f t="shared" si="14"/>
        <v>768386.88723552891</v>
      </c>
    </row>
    <row r="44" spans="1:9" x14ac:dyDescent="0.3">
      <c r="A44" s="82" t="s">
        <v>65</v>
      </c>
      <c r="B44" s="81">
        <f>B17+B7</f>
        <v>13</v>
      </c>
      <c r="C44" s="81">
        <f t="shared" ref="C44:I44" si="15">C17+C7</f>
        <v>66627167</v>
      </c>
      <c r="D44" s="81">
        <f t="shared" si="15"/>
        <v>30915005.055999998</v>
      </c>
      <c r="E44" s="81">
        <f t="shared" si="15"/>
        <v>97542172.055999994</v>
      </c>
      <c r="F44" s="81">
        <f t="shared" si="15"/>
        <v>829021.49812084704</v>
      </c>
      <c r="G44" s="81">
        <f t="shared" si="15"/>
        <v>2764203</v>
      </c>
      <c r="H44" s="81">
        <f t="shared" si="15"/>
        <v>100306375.05599999</v>
      </c>
      <c r="I44" s="81">
        <f t="shared" si="15"/>
        <v>852514.75917776208</v>
      </c>
    </row>
    <row r="45" spans="1:9" x14ac:dyDescent="0.3">
      <c r="A45" s="82" t="s">
        <v>68</v>
      </c>
      <c r="B45" s="81">
        <f>B25+B8</f>
        <v>0</v>
      </c>
      <c r="C45" s="81">
        <f t="shared" ref="C45:I45" si="16">C25+C8</f>
        <v>66627167</v>
      </c>
      <c r="D45" s="81">
        <f t="shared" si="16"/>
        <v>0</v>
      </c>
      <c r="E45" s="81">
        <f t="shared" si="16"/>
        <v>66627167</v>
      </c>
      <c r="F45" s="81">
        <f t="shared" si="16"/>
        <v>566271.5176178019</v>
      </c>
      <c r="G45" s="81">
        <f t="shared" si="16"/>
        <v>0</v>
      </c>
      <c r="H45" s="81">
        <f t="shared" si="16"/>
        <v>66627167</v>
      </c>
      <c r="I45" s="81">
        <f t="shared" si="16"/>
        <v>566271.5176178019</v>
      </c>
    </row>
    <row r="46" spans="1:9" x14ac:dyDescent="0.3">
      <c r="A46" s="82" t="s">
        <v>69</v>
      </c>
      <c r="B46" s="81">
        <f>B9</f>
        <v>0</v>
      </c>
      <c r="C46" s="81">
        <f t="shared" ref="C46:I46" si="17">C9</f>
        <v>0</v>
      </c>
      <c r="D46" s="81">
        <f t="shared" si="17"/>
        <v>0</v>
      </c>
      <c r="E46" s="81">
        <f t="shared" si="17"/>
        <v>0</v>
      </c>
      <c r="F46" s="81">
        <f t="shared" si="17"/>
        <v>0</v>
      </c>
      <c r="G46" s="81">
        <f t="shared" si="17"/>
        <v>0</v>
      </c>
      <c r="H46" s="81">
        <f t="shared" si="17"/>
        <v>0</v>
      </c>
      <c r="I46" s="81">
        <f t="shared" si="17"/>
        <v>0</v>
      </c>
    </row>
    <row r="47" spans="1:9" x14ac:dyDescent="0.3">
      <c r="A47" s="70" t="s">
        <v>83</v>
      </c>
      <c r="B47" s="81">
        <f>B15</f>
        <v>31</v>
      </c>
      <c r="C47" s="81">
        <f t="shared" ref="C47:I47" si="18">C15</f>
        <v>20500667</v>
      </c>
      <c r="D47" s="81">
        <f t="shared" si="18"/>
        <v>73720396.671999991</v>
      </c>
      <c r="E47" s="81">
        <f t="shared" si="18"/>
        <v>94221063.671999991</v>
      </c>
      <c r="F47" s="81">
        <f t="shared" si="18"/>
        <v>800795.03781253332</v>
      </c>
      <c r="G47" s="81">
        <f t="shared" si="18"/>
        <v>119142800</v>
      </c>
      <c r="H47" s="81">
        <f t="shared" si="18"/>
        <v>213363863.67199999</v>
      </c>
      <c r="I47" s="81">
        <f t="shared" si="18"/>
        <v>1813402.6152776573</v>
      </c>
    </row>
    <row r="48" spans="1:9" x14ac:dyDescent="0.3">
      <c r="A48" s="70" t="s">
        <v>85</v>
      </c>
      <c r="B48" s="81">
        <f>B20</f>
        <v>5</v>
      </c>
      <c r="C48" s="81">
        <f t="shared" ref="C48:I49" si="19">C20</f>
        <v>20500667</v>
      </c>
      <c r="D48" s="81">
        <f t="shared" si="19"/>
        <v>11890386.559999999</v>
      </c>
      <c r="E48" s="81">
        <f t="shared" si="19"/>
        <v>32391053.559999999</v>
      </c>
      <c r="F48" s="81">
        <f t="shared" si="19"/>
        <v>275295.07680644299</v>
      </c>
      <c r="G48" s="81">
        <f t="shared" si="19"/>
        <v>14500000</v>
      </c>
      <c r="H48" s="81">
        <f t="shared" si="19"/>
        <v>46891053.560000002</v>
      </c>
      <c r="I48" s="81">
        <f t="shared" si="19"/>
        <v>398532.14923754497</v>
      </c>
    </row>
    <row r="49" spans="1:9" x14ac:dyDescent="0.3">
      <c r="A49" s="70" t="str">
        <f>A21</f>
        <v>SPP</v>
      </c>
      <c r="B49" s="70">
        <f>B21</f>
        <v>3</v>
      </c>
      <c r="C49" s="70">
        <f t="shared" si="19"/>
        <v>20500667</v>
      </c>
      <c r="D49" s="70">
        <f t="shared" si="19"/>
        <v>7134231.9359999998</v>
      </c>
      <c r="E49" s="70">
        <f t="shared" si="19"/>
        <v>27634898.936000001</v>
      </c>
      <c r="F49" s="70">
        <f t="shared" si="19"/>
        <v>234872.00288289759</v>
      </c>
      <c r="G49" s="70">
        <f t="shared" si="19"/>
        <v>0</v>
      </c>
      <c r="H49" s="70">
        <f t="shared" si="19"/>
        <v>27634898.936000001</v>
      </c>
      <c r="I49" s="70">
        <f t="shared" si="19"/>
        <v>234872.00288289759</v>
      </c>
    </row>
    <row r="50" spans="1:9" x14ac:dyDescent="0.3">
      <c r="A50" s="70" t="s">
        <v>86</v>
      </c>
      <c r="B50" s="70">
        <f t="shared" ref="B50:I52" si="20">B22</f>
        <v>2</v>
      </c>
      <c r="C50" s="70">
        <f t="shared" si="20"/>
        <v>20500667</v>
      </c>
      <c r="D50" s="70">
        <f t="shared" si="20"/>
        <v>4756154.6239999998</v>
      </c>
      <c r="E50" s="70">
        <f t="shared" si="20"/>
        <v>25256821.623999998</v>
      </c>
      <c r="F50" s="70">
        <f t="shared" si="20"/>
        <v>214660.46592112485</v>
      </c>
      <c r="G50" s="70">
        <f t="shared" si="20"/>
        <v>3635000</v>
      </c>
      <c r="H50" s="70">
        <f t="shared" si="20"/>
        <v>28891821.623999998</v>
      </c>
      <c r="I50" s="70">
        <f t="shared" si="20"/>
        <v>245554.72511333559</v>
      </c>
    </row>
    <row r="51" spans="1:9" x14ac:dyDescent="0.3">
      <c r="A51" s="70" t="s">
        <v>87</v>
      </c>
      <c r="B51" s="70">
        <f t="shared" si="20"/>
        <v>2</v>
      </c>
      <c r="C51" s="70">
        <f t="shared" si="20"/>
        <v>20500667</v>
      </c>
      <c r="D51" s="70">
        <f t="shared" si="20"/>
        <v>4756154.6239999998</v>
      </c>
      <c r="E51" s="70">
        <f t="shared" si="20"/>
        <v>25256821.623999998</v>
      </c>
      <c r="F51" s="70">
        <f t="shared" si="20"/>
        <v>214660.46592112485</v>
      </c>
      <c r="G51" s="70">
        <f t="shared" si="20"/>
        <v>81000</v>
      </c>
      <c r="H51" s="70">
        <f t="shared" si="20"/>
        <v>25337821.623999998</v>
      </c>
      <c r="I51" s="70">
        <f t="shared" si="20"/>
        <v>215348.89370505032</v>
      </c>
    </row>
    <row r="52" spans="1:9" x14ac:dyDescent="0.3">
      <c r="A52" s="70" t="s">
        <v>88</v>
      </c>
      <c r="B52" s="70">
        <f t="shared" si="20"/>
        <v>1</v>
      </c>
      <c r="C52" s="70">
        <f t="shared" si="20"/>
        <v>20500667</v>
      </c>
      <c r="D52" s="70">
        <f t="shared" si="20"/>
        <v>2378077.3119999999</v>
      </c>
      <c r="E52" s="70">
        <f t="shared" si="20"/>
        <v>22878744.311999999</v>
      </c>
      <c r="F52" s="70">
        <f t="shared" si="20"/>
        <v>194448.92895935214</v>
      </c>
      <c r="G52" s="70">
        <f t="shared" si="20"/>
        <v>4410000</v>
      </c>
      <c r="H52" s="70">
        <f t="shared" si="20"/>
        <v>27288744.311999999</v>
      </c>
      <c r="I52" s="70">
        <f t="shared" si="20"/>
        <v>231929.99719529419</v>
      </c>
    </row>
    <row r="53" spans="1:9" x14ac:dyDescent="0.3">
      <c r="A53" s="70" t="s">
        <v>89</v>
      </c>
      <c r="B53" s="81">
        <f>B26</f>
        <v>0</v>
      </c>
      <c r="C53" s="81">
        <f t="shared" ref="C53:I53" si="21">C26</f>
        <v>20500667</v>
      </c>
      <c r="D53" s="81">
        <f t="shared" si="21"/>
        <v>0</v>
      </c>
      <c r="E53" s="81">
        <f t="shared" si="21"/>
        <v>20500667</v>
      </c>
      <c r="F53" s="81">
        <f t="shared" si="21"/>
        <v>174237.39199757946</v>
      </c>
      <c r="G53" s="81">
        <f t="shared" si="21"/>
        <v>28510000</v>
      </c>
      <c r="H53" s="81">
        <f t="shared" si="21"/>
        <v>49010667</v>
      </c>
      <c r="I53" s="81">
        <f t="shared" si="21"/>
        <v>416546.97372245649</v>
      </c>
    </row>
    <row r="54" spans="1:9" x14ac:dyDescent="0.3">
      <c r="A54" s="70" t="s">
        <v>90</v>
      </c>
      <c r="B54" s="81">
        <f t="shared" ref="B54:I58" si="22">B27</f>
        <v>0</v>
      </c>
      <c r="C54" s="81">
        <f t="shared" si="22"/>
        <v>20500667</v>
      </c>
      <c r="D54" s="81">
        <f t="shared" si="22"/>
        <v>0</v>
      </c>
      <c r="E54" s="81">
        <f t="shared" si="22"/>
        <v>20500667</v>
      </c>
      <c r="F54" s="81">
        <f t="shared" si="22"/>
        <v>174237.39199757946</v>
      </c>
      <c r="G54" s="81">
        <f t="shared" si="22"/>
        <v>3089500</v>
      </c>
      <c r="H54" s="81">
        <f t="shared" si="22"/>
        <v>23590167</v>
      </c>
      <c r="I54" s="81">
        <f t="shared" si="22"/>
        <v>200495.38753384768</v>
      </c>
    </row>
    <row r="55" spans="1:9" x14ac:dyDescent="0.3">
      <c r="A55" s="70" t="s">
        <v>91</v>
      </c>
      <c r="B55" s="81">
        <f t="shared" si="22"/>
        <v>0</v>
      </c>
      <c r="C55" s="81">
        <f t="shared" si="22"/>
        <v>0</v>
      </c>
      <c r="D55" s="81">
        <f t="shared" si="22"/>
        <v>0</v>
      </c>
      <c r="E55" s="81">
        <f t="shared" si="22"/>
        <v>0</v>
      </c>
      <c r="F55" s="81">
        <f t="shared" si="22"/>
        <v>0</v>
      </c>
      <c r="G55" s="81">
        <f t="shared" si="22"/>
        <v>0</v>
      </c>
      <c r="H55" s="81">
        <f t="shared" si="22"/>
        <v>0</v>
      </c>
      <c r="I55" s="81">
        <f t="shared" si="22"/>
        <v>0</v>
      </c>
    </row>
    <row r="56" spans="1:9" x14ac:dyDescent="0.3">
      <c r="A56" s="70" t="s">
        <v>92</v>
      </c>
      <c r="B56" s="81">
        <f t="shared" si="22"/>
        <v>0</v>
      </c>
      <c r="C56" s="81">
        <f t="shared" si="22"/>
        <v>0</v>
      </c>
      <c r="D56" s="81">
        <f t="shared" si="22"/>
        <v>0</v>
      </c>
      <c r="E56" s="81">
        <f t="shared" si="22"/>
        <v>0</v>
      </c>
      <c r="F56" s="81">
        <f t="shared" si="22"/>
        <v>0</v>
      </c>
      <c r="G56" s="81">
        <f t="shared" si="22"/>
        <v>0</v>
      </c>
      <c r="H56" s="81">
        <f t="shared" si="22"/>
        <v>0</v>
      </c>
      <c r="I56" s="81">
        <f t="shared" si="22"/>
        <v>0</v>
      </c>
    </row>
    <row r="57" spans="1:9" x14ac:dyDescent="0.3">
      <c r="A57" s="70" t="s">
        <v>93</v>
      </c>
      <c r="B57" s="81">
        <f t="shared" si="22"/>
        <v>0</v>
      </c>
      <c r="C57" s="81">
        <f t="shared" si="22"/>
        <v>0</v>
      </c>
      <c r="D57" s="81">
        <f t="shared" si="22"/>
        <v>0</v>
      </c>
      <c r="E57" s="81">
        <f t="shared" si="22"/>
        <v>0</v>
      </c>
      <c r="F57" s="81">
        <f t="shared" si="22"/>
        <v>0</v>
      </c>
      <c r="G57" s="81">
        <f t="shared" si="22"/>
        <v>0</v>
      </c>
      <c r="H57" s="81">
        <f t="shared" si="22"/>
        <v>0</v>
      </c>
      <c r="I57" s="81">
        <f t="shared" si="22"/>
        <v>0</v>
      </c>
    </row>
    <row r="58" spans="1:9" x14ac:dyDescent="0.3">
      <c r="A58" s="70" t="s">
        <v>94</v>
      </c>
      <c r="B58" s="81">
        <f t="shared" si="22"/>
        <v>0</v>
      </c>
      <c r="C58" s="81">
        <f t="shared" si="22"/>
        <v>20500667</v>
      </c>
      <c r="D58" s="81">
        <f t="shared" si="22"/>
        <v>0</v>
      </c>
      <c r="E58" s="81">
        <f t="shared" si="22"/>
        <v>20500667</v>
      </c>
      <c r="F58" s="81">
        <f t="shared" si="22"/>
        <v>174237.39199757946</v>
      </c>
      <c r="G58" s="81">
        <f t="shared" si="22"/>
        <v>0</v>
      </c>
      <c r="H58" s="81">
        <f t="shared" si="22"/>
        <v>20500667</v>
      </c>
      <c r="I58" s="81">
        <f t="shared" si="22"/>
        <v>174237.39199757946</v>
      </c>
    </row>
    <row r="59" spans="1:9" x14ac:dyDescent="0.3">
      <c r="A59" s="76" t="s">
        <v>77</v>
      </c>
      <c r="B59" s="77">
        <f>SUM(B39:B58)</f>
        <v>250</v>
      </c>
      <c r="C59" s="77">
        <f t="shared" ref="C59:I59" si="23">SUM(C39:C58)</f>
        <v>650896172</v>
      </c>
      <c r="D59" s="77">
        <f t="shared" si="23"/>
        <v>1194163828.0000002</v>
      </c>
      <c r="E59" s="77">
        <f t="shared" si="23"/>
        <v>1845060000.0000002</v>
      </c>
      <c r="F59" s="77">
        <f t="shared" si="23"/>
        <v>15681365.024808897</v>
      </c>
      <c r="G59" s="77">
        <f t="shared" si="23"/>
        <v>362932203</v>
      </c>
      <c r="H59" s="77">
        <f t="shared" si="23"/>
        <v>2207992203</v>
      </c>
      <c r="I59" s="77">
        <f t="shared" si="23"/>
        <v>18765965.175753068</v>
      </c>
    </row>
    <row r="61" spans="1:9" ht="43.2" x14ac:dyDescent="0.3">
      <c r="A61" s="92" t="s">
        <v>108</v>
      </c>
      <c r="B61" s="92"/>
      <c r="C61" s="92"/>
      <c r="D61" s="92"/>
      <c r="E61" s="92"/>
      <c r="F61" s="92"/>
      <c r="G61" s="92"/>
      <c r="H61" s="92"/>
      <c r="I61" s="92"/>
    </row>
    <row r="62" spans="1:9" ht="28.8" x14ac:dyDescent="0.3">
      <c r="A62" s="92" t="s">
        <v>102</v>
      </c>
      <c r="B62" s="92" t="s">
        <v>82</v>
      </c>
      <c r="C62" s="92" t="s">
        <v>70</v>
      </c>
      <c r="D62" s="92" t="s">
        <v>71</v>
      </c>
      <c r="E62" s="92" t="s">
        <v>73</v>
      </c>
      <c r="F62" s="92" t="s">
        <v>74</v>
      </c>
      <c r="G62" s="92" t="s">
        <v>72</v>
      </c>
      <c r="H62" s="92" t="s">
        <v>75</v>
      </c>
      <c r="I62" s="92" t="s">
        <v>76</v>
      </c>
    </row>
    <row r="63" spans="1:9" x14ac:dyDescent="0.3">
      <c r="A63" s="92" t="s">
        <v>63</v>
      </c>
      <c r="B63" s="92">
        <f>B39</f>
        <v>120</v>
      </c>
      <c r="C63" s="92">
        <v>67908458.5</v>
      </c>
      <c r="D63" s="92">
        <v>883014959.88</v>
      </c>
      <c r="E63" s="92">
        <v>950923418.38</v>
      </c>
      <c r="F63" s="92">
        <v>8082001.2542984234</v>
      </c>
      <c r="G63" s="92">
        <v>174000000</v>
      </c>
      <c r="H63" s="92">
        <v>1124923418.3800001</v>
      </c>
      <c r="I63" s="92">
        <v>9560846.1234716475</v>
      </c>
    </row>
    <row r="64" spans="1:9" x14ac:dyDescent="0.3">
      <c r="A64" s="92" t="s">
        <v>64</v>
      </c>
      <c r="B64" s="92">
        <f t="shared" ref="B64:B82" si="24">B40</f>
        <v>38</v>
      </c>
      <c r="C64" s="92">
        <v>67908458.5</v>
      </c>
      <c r="D64" s="92">
        <v>115295747.712</v>
      </c>
      <c r="E64" s="92">
        <v>183204206.21200001</v>
      </c>
      <c r="F64" s="92">
        <v>1557072.4159055715</v>
      </c>
      <c r="G64" s="92">
        <v>4122500</v>
      </c>
      <c r="H64" s="92">
        <v>187326706.21200001</v>
      </c>
      <c r="I64" s="92">
        <v>1592109.9904640003</v>
      </c>
    </row>
    <row r="65" spans="1:9" x14ac:dyDescent="0.3">
      <c r="A65" s="92" t="s">
        <v>84</v>
      </c>
      <c r="B65" s="92">
        <f t="shared" si="24"/>
        <v>15</v>
      </c>
      <c r="C65" s="92">
        <v>67908458.5</v>
      </c>
      <c r="D65" s="92">
        <v>45511479.359999999</v>
      </c>
      <c r="E65" s="92">
        <v>113419937.86</v>
      </c>
      <c r="F65" s="92">
        <v>963968.35152992443</v>
      </c>
      <c r="G65" s="92">
        <v>7236400</v>
      </c>
      <c r="H65" s="92">
        <v>120656337.86</v>
      </c>
      <c r="I65" s="92">
        <v>1025471.2998706435</v>
      </c>
    </row>
    <row r="66" spans="1:9" x14ac:dyDescent="0.3">
      <c r="A66" s="92" t="s">
        <v>66</v>
      </c>
      <c r="B66" s="92">
        <f t="shared" si="24"/>
        <v>10</v>
      </c>
      <c r="C66" s="92">
        <v>67908458.5</v>
      </c>
      <c r="D66" s="92">
        <v>30340986.239999998</v>
      </c>
      <c r="E66" s="92">
        <v>98249444.739999995</v>
      </c>
      <c r="F66" s="92">
        <v>835032.68536130548</v>
      </c>
      <c r="G66" s="92">
        <v>1440800</v>
      </c>
      <c r="H66" s="92">
        <v>99690244.739999995</v>
      </c>
      <c r="I66" s="92">
        <v>847278.20080673532</v>
      </c>
    </row>
    <row r="67" spans="1:9" x14ac:dyDescent="0.3">
      <c r="A67" s="92" t="s">
        <v>67</v>
      </c>
      <c r="B67" s="92">
        <f t="shared" si="24"/>
        <v>10</v>
      </c>
      <c r="C67" s="92">
        <v>67908458.5</v>
      </c>
      <c r="D67" s="92">
        <v>30340986.239999998</v>
      </c>
      <c r="E67" s="92">
        <v>98249444.739999995</v>
      </c>
      <c r="F67" s="92">
        <v>835032.68536130548</v>
      </c>
      <c r="G67" s="92">
        <v>0</v>
      </c>
      <c r="H67" s="92">
        <v>98249444.739999995</v>
      </c>
      <c r="I67" s="92">
        <v>835032.68536130548</v>
      </c>
    </row>
    <row r="68" spans="1:9" x14ac:dyDescent="0.3">
      <c r="A68" s="92" t="s">
        <v>65</v>
      </c>
      <c r="B68" s="92">
        <f t="shared" si="24"/>
        <v>13</v>
      </c>
      <c r="C68" s="92">
        <v>67908458.5</v>
      </c>
      <c r="D68" s="92">
        <v>39443282.111999996</v>
      </c>
      <c r="E68" s="92">
        <v>107351740.61199999</v>
      </c>
      <c r="F68" s="92">
        <v>912394.08506247681</v>
      </c>
      <c r="G68" s="92">
        <v>2764203</v>
      </c>
      <c r="H68" s="92">
        <v>110115943.61199999</v>
      </c>
      <c r="I68" s="92">
        <v>935887.34611939196</v>
      </c>
    </row>
    <row r="69" spans="1:9" x14ac:dyDescent="0.3">
      <c r="A69" s="92" t="s">
        <v>68</v>
      </c>
      <c r="B69" s="92">
        <f t="shared" si="24"/>
        <v>0</v>
      </c>
      <c r="C69" s="92">
        <v>67908458.5</v>
      </c>
      <c r="D69" s="92">
        <v>0</v>
      </c>
      <c r="E69" s="92">
        <v>67908458.5</v>
      </c>
      <c r="F69" s="92">
        <v>577161.35302406771</v>
      </c>
      <c r="G69" s="92">
        <v>0</v>
      </c>
      <c r="H69" s="92">
        <v>67908458.5</v>
      </c>
      <c r="I69" s="92">
        <v>577161.35302406771</v>
      </c>
    </row>
    <row r="70" spans="1:9" x14ac:dyDescent="0.3">
      <c r="A70" s="92" t="s">
        <v>69</v>
      </c>
      <c r="B70" s="92">
        <f t="shared" si="24"/>
        <v>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</row>
    <row r="71" spans="1:9" x14ac:dyDescent="0.3">
      <c r="A71" s="92" t="s">
        <v>83</v>
      </c>
      <c r="B71" s="92">
        <f t="shared" si="24"/>
        <v>31</v>
      </c>
      <c r="C71" s="92">
        <v>10250333.5</v>
      </c>
      <c r="D71" s="92">
        <v>94057057.343999997</v>
      </c>
      <c r="E71" s="92">
        <v>107341489.46799999</v>
      </c>
      <c r="F71" s="92">
        <v>912306.9594779507</v>
      </c>
      <c r="G71" s="92">
        <v>119142800</v>
      </c>
      <c r="H71" s="92">
        <v>226484289.46799999</v>
      </c>
      <c r="I71" s="92">
        <v>1924914.5369430745</v>
      </c>
    </row>
    <row r="72" spans="1:9" x14ac:dyDescent="0.3">
      <c r="A72" s="92" t="s">
        <v>85</v>
      </c>
      <c r="B72" s="92">
        <f t="shared" si="24"/>
        <v>5</v>
      </c>
      <c r="C72" s="92">
        <v>10250333.5</v>
      </c>
      <c r="D72" s="92">
        <v>15170493.119999999</v>
      </c>
      <c r="E72" s="92">
        <v>25420826.619999997</v>
      </c>
      <c r="F72" s="92">
        <v>216054.3621674086</v>
      </c>
      <c r="G72" s="92">
        <v>14500000</v>
      </c>
      <c r="H72" s="92">
        <v>39920826.619999997</v>
      </c>
      <c r="I72" s="92">
        <v>339291.43459851056</v>
      </c>
    </row>
    <row r="73" spans="1:9" x14ac:dyDescent="0.3">
      <c r="A73" s="92" t="s">
        <v>95</v>
      </c>
      <c r="B73" s="92">
        <f t="shared" si="24"/>
        <v>3</v>
      </c>
      <c r="C73" s="92">
        <v>10250333.5</v>
      </c>
      <c r="D73" s="92">
        <v>9102295.8719999995</v>
      </c>
      <c r="E73" s="92">
        <v>19352629.372000001</v>
      </c>
      <c r="F73" s="92">
        <v>164480.09569996106</v>
      </c>
      <c r="G73" s="92">
        <v>0</v>
      </c>
      <c r="H73" s="92">
        <v>19352629.372000001</v>
      </c>
      <c r="I73" s="92">
        <v>164480.09569996106</v>
      </c>
    </row>
    <row r="74" spans="1:9" x14ac:dyDescent="0.3">
      <c r="A74" s="92" t="s">
        <v>86</v>
      </c>
      <c r="B74" s="92">
        <f t="shared" si="24"/>
        <v>2</v>
      </c>
      <c r="C74" s="92">
        <v>10250333.5</v>
      </c>
      <c r="D74" s="92">
        <v>6068197.2479999997</v>
      </c>
      <c r="E74" s="92">
        <v>16318530.748</v>
      </c>
      <c r="F74" s="92">
        <v>138692.96246623728</v>
      </c>
      <c r="G74" s="92">
        <v>3635000</v>
      </c>
      <c r="H74" s="92">
        <v>19953530.748</v>
      </c>
      <c r="I74" s="92">
        <v>169587.22165844802</v>
      </c>
    </row>
    <row r="75" spans="1:9" x14ac:dyDescent="0.3">
      <c r="A75" s="92" t="s">
        <v>87</v>
      </c>
      <c r="B75" s="92">
        <f t="shared" si="24"/>
        <v>2</v>
      </c>
      <c r="C75" s="92">
        <v>10250333.5</v>
      </c>
      <c r="D75" s="92">
        <v>6068197.2479999997</v>
      </c>
      <c r="E75" s="92">
        <v>16318530.748</v>
      </c>
      <c r="F75" s="92">
        <v>138692.96246623728</v>
      </c>
      <c r="G75" s="92">
        <v>81000</v>
      </c>
      <c r="H75" s="92">
        <v>16399530.748</v>
      </c>
      <c r="I75" s="92">
        <v>139381.39025016275</v>
      </c>
    </row>
    <row r="76" spans="1:9" x14ac:dyDescent="0.3">
      <c r="A76" s="92" t="s">
        <v>88</v>
      </c>
      <c r="B76" s="92">
        <f t="shared" si="24"/>
        <v>1</v>
      </c>
      <c r="C76" s="92">
        <v>10250333.5</v>
      </c>
      <c r="D76" s="92">
        <v>3034098.6239999998</v>
      </c>
      <c r="E76" s="92">
        <v>10250333.5</v>
      </c>
      <c r="F76" s="92">
        <v>87118.695998789728</v>
      </c>
      <c r="G76" s="92">
        <v>4410000</v>
      </c>
      <c r="H76" s="92">
        <v>14660333.5</v>
      </c>
      <c r="I76" s="92">
        <v>124599.76423473177</v>
      </c>
    </row>
    <row r="77" spans="1:9" x14ac:dyDescent="0.3">
      <c r="A77" s="92" t="s">
        <v>89</v>
      </c>
      <c r="B77" s="92">
        <f t="shared" si="24"/>
        <v>0</v>
      </c>
      <c r="C77" s="92">
        <v>10250333.5</v>
      </c>
      <c r="D77" s="92">
        <v>0</v>
      </c>
      <c r="E77" s="92">
        <v>10250333.5</v>
      </c>
      <c r="F77" s="92">
        <v>87118.695998789728</v>
      </c>
      <c r="G77" s="92">
        <v>28510000</v>
      </c>
      <c r="H77" s="92">
        <v>38760333.5</v>
      </c>
      <c r="I77" s="92">
        <v>329428.27772366675</v>
      </c>
    </row>
    <row r="78" spans="1:9" x14ac:dyDescent="0.3">
      <c r="A78" s="92" t="s">
        <v>90</v>
      </c>
      <c r="B78" s="92">
        <f t="shared" si="24"/>
        <v>0</v>
      </c>
      <c r="C78" s="92">
        <v>10250333.5</v>
      </c>
      <c r="D78" s="92">
        <v>0</v>
      </c>
      <c r="E78" s="92">
        <v>10250333.5</v>
      </c>
      <c r="F78" s="92">
        <v>87118.695998789728</v>
      </c>
      <c r="G78" s="92">
        <v>3089500</v>
      </c>
      <c r="H78" s="92">
        <v>13339833.5</v>
      </c>
      <c r="I78" s="92">
        <v>113376.69153505797</v>
      </c>
    </row>
    <row r="79" spans="1:9" x14ac:dyDescent="0.3">
      <c r="A79" s="92" t="s">
        <v>91</v>
      </c>
      <c r="B79" s="92">
        <f t="shared" si="24"/>
        <v>0</v>
      </c>
      <c r="C79" s="92">
        <v>0</v>
      </c>
      <c r="D79" s="92">
        <v>0</v>
      </c>
      <c r="E79" s="92">
        <v>0</v>
      </c>
      <c r="F79" s="92">
        <v>0</v>
      </c>
      <c r="G79" s="92">
        <v>0</v>
      </c>
      <c r="H79" s="92">
        <v>0</v>
      </c>
      <c r="I79" s="92">
        <v>0</v>
      </c>
    </row>
    <row r="80" spans="1:9" x14ac:dyDescent="0.3">
      <c r="A80" s="92" t="s">
        <v>92</v>
      </c>
      <c r="B80" s="92">
        <f t="shared" si="24"/>
        <v>0</v>
      </c>
      <c r="C80" s="92">
        <v>0</v>
      </c>
      <c r="D80" s="92">
        <v>0</v>
      </c>
      <c r="E80" s="92">
        <v>0</v>
      </c>
      <c r="F80" s="92">
        <v>0</v>
      </c>
      <c r="G80" s="92">
        <v>0</v>
      </c>
      <c r="H80" s="92">
        <v>0</v>
      </c>
      <c r="I80" s="92">
        <v>0</v>
      </c>
    </row>
    <row r="81" spans="1:9" x14ac:dyDescent="0.3">
      <c r="A81" s="92" t="s">
        <v>93</v>
      </c>
      <c r="B81" s="92">
        <f t="shared" si="24"/>
        <v>0</v>
      </c>
      <c r="C81" s="92">
        <v>0</v>
      </c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</row>
    <row r="82" spans="1:9" x14ac:dyDescent="0.3">
      <c r="A82" s="92" t="s">
        <v>94</v>
      </c>
      <c r="B82" s="92">
        <f t="shared" si="24"/>
        <v>0</v>
      </c>
      <c r="C82" s="92">
        <v>10250333.5</v>
      </c>
      <c r="D82" s="92">
        <v>0</v>
      </c>
      <c r="E82" s="92">
        <v>10250333.5</v>
      </c>
      <c r="F82" s="92">
        <v>87118.695998789728</v>
      </c>
      <c r="G82" s="92">
        <v>0</v>
      </c>
      <c r="H82" s="92">
        <v>10250333.5</v>
      </c>
      <c r="I82" s="92">
        <v>87118.695998789728</v>
      </c>
    </row>
    <row r="83" spans="1:9" x14ac:dyDescent="0.3">
      <c r="A83" s="92" t="s">
        <v>77</v>
      </c>
      <c r="B83" s="92">
        <v>250</v>
      </c>
      <c r="C83" s="92">
        <f>SUM(C63:C82)</f>
        <v>567612211</v>
      </c>
      <c r="D83" s="92">
        <f t="shared" ref="D83:I83" si="25">SUM(D63:D82)</f>
        <v>1277447780.9999998</v>
      </c>
      <c r="E83" s="92">
        <f t="shared" si="25"/>
        <v>1845059991.9999995</v>
      </c>
      <c r="F83" s="92">
        <f t="shared" si="25"/>
        <v>15681364.956816027</v>
      </c>
      <c r="G83" s="92">
        <f t="shared" si="25"/>
        <v>362932203</v>
      </c>
      <c r="H83" s="92">
        <f t="shared" si="25"/>
        <v>2207992194.9999995</v>
      </c>
      <c r="I83" s="92">
        <f t="shared" si="25"/>
        <v>18765965.107760195</v>
      </c>
    </row>
    <row r="85" spans="1:9" x14ac:dyDescent="0.3">
      <c r="A85" s="92" t="s">
        <v>63</v>
      </c>
      <c r="C85" s="93">
        <f>C63-C39</f>
        <v>1281291.5</v>
      </c>
      <c r="D85" s="93">
        <f t="shared" ref="D85:H85" si="26">D63-D39</f>
        <v>-1998817.560000062</v>
      </c>
      <c r="E85" s="93">
        <f t="shared" si="26"/>
        <v>-717526.06000006199</v>
      </c>
      <c r="F85" s="93">
        <f t="shared" si="26"/>
        <v>-6098.3317949948832</v>
      </c>
      <c r="G85" s="93">
        <f t="shared" si="26"/>
        <v>0</v>
      </c>
      <c r="H85" s="93">
        <f t="shared" si="26"/>
        <v>-717526.05999994278</v>
      </c>
      <c r="I85" s="93">
        <f>I63-I39</f>
        <v>-6098.3317949958146</v>
      </c>
    </row>
    <row r="86" spans="1:9" x14ac:dyDescent="0.3">
      <c r="A86" s="92" t="s">
        <v>64</v>
      </c>
      <c r="C86" s="93">
        <f t="shared" ref="C86:I101" si="27">C64-C40</f>
        <v>1281291.5</v>
      </c>
      <c r="D86" s="93">
        <f t="shared" si="27"/>
        <v>24928809.856000006</v>
      </c>
      <c r="E86" s="93">
        <f t="shared" si="27"/>
        <v>26210101.356000006</v>
      </c>
      <c r="F86" s="93">
        <f t="shared" si="27"/>
        <v>222762.49374040682</v>
      </c>
      <c r="G86" s="93">
        <f t="shared" si="27"/>
        <v>0</v>
      </c>
      <c r="H86" s="93">
        <f t="shared" si="27"/>
        <v>26210101.356000006</v>
      </c>
      <c r="I86" s="93">
        <f t="shared" si="27"/>
        <v>222762.49374040659</v>
      </c>
    </row>
    <row r="87" spans="1:9" x14ac:dyDescent="0.3">
      <c r="A87" s="92" t="s">
        <v>84</v>
      </c>
      <c r="C87" s="93">
        <f t="shared" si="27"/>
        <v>1281291.5</v>
      </c>
      <c r="D87" s="93">
        <f t="shared" si="27"/>
        <v>9840319.6799999997</v>
      </c>
      <c r="E87" s="93">
        <f t="shared" si="27"/>
        <v>11121611.179999992</v>
      </c>
      <c r="F87" s="93">
        <f t="shared" si="27"/>
        <v>94523.77948553185</v>
      </c>
      <c r="G87" s="93">
        <f t="shared" si="27"/>
        <v>0</v>
      </c>
      <c r="H87" s="93">
        <f t="shared" si="27"/>
        <v>11121611.179999992</v>
      </c>
      <c r="I87" s="93">
        <f t="shared" si="27"/>
        <v>94523.779485531966</v>
      </c>
    </row>
    <row r="88" spans="1:9" x14ac:dyDescent="0.3">
      <c r="A88" s="92" t="s">
        <v>66</v>
      </c>
      <c r="C88" s="93">
        <f t="shared" si="27"/>
        <v>1281291.5</v>
      </c>
      <c r="D88" s="93">
        <f t="shared" si="27"/>
        <v>6560213.120000001</v>
      </c>
      <c r="E88" s="93">
        <f t="shared" si="27"/>
        <v>7841504.6199999899</v>
      </c>
      <c r="F88" s="93">
        <f t="shared" si="27"/>
        <v>66645.798125776579</v>
      </c>
      <c r="G88" s="93">
        <f t="shared" si="27"/>
        <v>0</v>
      </c>
      <c r="H88" s="93">
        <f t="shared" si="27"/>
        <v>7841504.6199999899</v>
      </c>
      <c r="I88" s="93">
        <f t="shared" si="27"/>
        <v>66645.798125776579</v>
      </c>
    </row>
    <row r="89" spans="1:9" x14ac:dyDescent="0.3">
      <c r="A89" s="92" t="s">
        <v>67</v>
      </c>
      <c r="C89" s="93">
        <f t="shared" si="27"/>
        <v>1281291.5</v>
      </c>
      <c r="D89" s="93">
        <f t="shared" si="27"/>
        <v>6560213.120000001</v>
      </c>
      <c r="E89" s="93">
        <f t="shared" si="27"/>
        <v>7841504.6199999899</v>
      </c>
      <c r="F89" s="93">
        <f t="shared" si="27"/>
        <v>66645.798125776579</v>
      </c>
      <c r="G89" s="93">
        <f t="shared" si="27"/>
        <v>0</v>
      </c>
      <c r="H89" s="93">
        <f t="shared" si="27"/>
        <v>7841504.6199999899</v>
      </c>
      <c r="I89" s="93">
        <f t="shared" si="27"/>
        <v>66645.798125776579</v>
      </c>
    </row>
    <row r="90" spans="1:9" x14ac:dyDescent="0.3">
      <c r="A90" s="92" t="s">
        <v>65</v>
      </c>
      <c r="C90" s="93">
        <f t="shared" si="27"/>
        <v>1281291.5</v>
      </c>
      <c r="D90" s="93">
        <f t="shared" si="27"/>
        <v>8528277.055999998</v>
      </c>
      <c r="E90" s="93">
        <f t="shared" si="27"/>
        <v>9809568.5559999943</v>
      </c>
      <c r="F90" s="93">
        <f t="shared" si="27"/>
        <v>83372.586941629765</v>
      </c>
      <c r="G90" s="93">
        <f t="shared" si="27"/>
        <v>0</v>
      </c>
      <c r="H90" s="93">
        <f t="shared" si="27"/>
        <v>9809568.5559999943</v>
      </c>
      <c r="I90" s="93">
        <f t="shared" si="27"/>
        <v>83372.586941629881</v>
      </c>
    </row>
    <row r="91" spans="1:9" x14ac:dyDescent="0.3">
      <c r="A91" s="92" t="s">
        <v>68</v>
      </c>
      <c r="C91" s="93">
        <f t="shared" si="27"/>
        <v>1281291.5</v>
      </c>
      <c r="D91" s="93">
        <f t="shared" si="27"/>
        <v>0</v>
      </c>
      <c r="E91" s="93">
        <f t="shared" si="27"/>
        <v>1281291.5</v>
      </c>
      <c r="F91" s="93">
        <f t="shared" si="27"/>
        <v>10889.835406265804</v>
      </c>
      <c r="G91" s="93">
        <f t="shared" si="27"/>
        <v>0</v>
      </c>
      <c r="H91" s="93">
        <f t="shared" si="27"/>
        <v>1281291.5</v>
      </c>
      <c r="I91" s="93">
        <f t="shared" si="27"/>
        <v>10889.835406265804</v>
      </c>
    </row>
    <row r="92" spans="1:9" x14ac:dyDescent="0.3">
      <c r="A92" s="92" t="s">
        <v>69</v>
      </c>
      <c r="C92" s="93">
        <f t="shared" si="27"/>
        <v>0</v>
      </c>
      <c r="D92" s="93">
        <f t="shared" si="27"/>
        <v>0</v>
      </c>
      <c r="E92" s="93">
        <f t="shared" si="27"/>
        <v>0</v>
      </c>
      <c r="F92" s="93">
        <f t="shared" si="27"/>
        <v>0</v>
      </c>
      <c r="G92" s="93">
        <f t="shared" si="27"/>
        <v>0</v>
      </c>
      <c r="H92" s="93">
        <f t="shared" si="27"/>
        <v>0</v>
      </c>
      <c r="I92" s="93">
        <f t="shared" si="27"/>
        <v>0</v>
      </c>
    </row>
    <row r="93" spans="1:9" x14ac:dyDescent="0.3">
      <c r="A93" s="92" t="s">
        <v>83</v>
      </c>
      <c r="C93" s="93">
        <f t="shared" si="27"/>
        <v>-10250333.5</v>
      </c>
      <c r="D93" s="93">
        <f t="shared" si="27"/>
        <v>20336660.672000006</v>
      </c>
      <c r="E93" s="93">
        <f t="shared" si="27"/>
        <v>13120425.796000004</v>
      </c>
      <c r="F93" s="93">
        <f t="shared" si="27"/>
        <v>111511.92166541738</v>
      </c>
      <c r="G93" s="93">
        <f t="shared" si="27"/>
        <v>0</v>
      </c>
      <c r="H93" s="93">
        <f t="shared" si="27"/>
        <v>13120425.796000004</v>
      </c>
      <c r="I93" s="93">
        <f t="shared" si="27"/>
        <v>111511.92166541726</v>
      </c>
    </row>
    <row r="94" spans="1:9" x14ac:dyDescent="0.3">
      <c r="A94" s="92" t="s">
        <v>85</v>
      </c>
      <c r="C94" s="93">
        <f t="shared" si="27"/>
        <v>-10250333.5</v>
      </c>
      <c r="D94" s="93">
        <f t="shared" si="27"/>
        <v>3280106.5600000005</v>
      </c>
      <c r="E94" s="93">
        <f t="shared" si="27"/>
        <v>-6970226.9400000013</v>
      </c>
      <c r="F94" s="93">
        <f t="shared" si="27"/>
        <v>-59240.714639034384</v>
      </c>
      <c r="G94" s="93">
        <f t="shared" si="27"/>
        <v>0</v>
      </c>
      <c r="H94" s="93">
        <f t="shared" si="27"/>
        <v>-6970226.9400000051</v>
      </c>
      <c r="I94" s="93">
        <f t="shared" si="27"/>
        <v>-59240.714639034413</v>
      </c>
    </row>
    <row r="95" spans="1:9" x14ac:dyDescent="0.3">
      <c r="A95" s="92" t="s">
        <v>95</v>
      </c>
      <c r="C95" s="93">
        <f t="shared" si="27"/>
        <v>-10250333.5</v>
      </c>
      <c r="D95" s="93">
        <f t="shared" si="27"/>
        <v>1968063.9359999998</v>
      </c>
      <c r="E95" s="93">
        <f t="shared" si="27"/>
        <v>-8282269.5639999993</v>
      </c>
      <c r="F95" s="93">
        <f t="shared" si="27"/>
        <v>-70391.907182936528</v>
      </c>
      <c r="G95" s="93">
        <f t="shared" si="27"/>
        <v>0</v>
      </c>
      <c r="H95" s="93">
        <f t="shared" si="27"/>
        <v>-8282269.5639999993</v>
      </c>
      <c r="I95" s="93">
        <f t="shared" si="27"/>
        <v>-70391.907182936528</v>
      </c>
    </row>
    <row r="96" spans="1:9" x14ac:dyDescent="0.3">
      <c r="A96" s="92" t="s">
        <v>86</v>
      </c>
      <c r="C96" s="93">
        <f t="shared" si="27"/>
        <v>-10250333.5</v>
      </c>
      <c r="D96" s="93">
        <f t="shared" si="27"/>
        <v>1312042.6239999998</v>
      </c>
      <c r="E96" s="93">
        <f t="shared" si="27"/>
        <v>-8938290.8759999983</v>
      </c>
      <c r="F96" s="93">
        <f t="shared" si="27"/>
        <v>-75967.50345488757</v>
      </c>
      <c r="G96" s="93">
        <f t="shared" si="27"/>
        <v>0</v>
      </c>
      <c r="H96" s="93">
        <f t="shared" si="27"/>
        <v>-8938290.8759999983</v>
      </c>
      <c r="I96" s="93">
        <f t="shared" si="27"/>
        <v>-75967.50345488757</v>
      </c>
    </row>
    <row r="97" spans="1:9" x14ac:dyDescent="0.3">
      <c r="A97" s="92" t="s">
        <v>87</v>
      </c>
      <c r="C97" s="93">
        <f t="shared" si="27"/>
        <v>-10250333.5</v>
      </c>
      <c r="D97" s="93">
        <f t="shared" si="27"/>
        <v>1312042.6239999998</v>
      </c>
      <c r="E97" s="93">
        <f t="shared" si="27"/>
        <v>-8938290.8759999983</v>
      </c>
      <c r="F97" s="93">
        <f t="shared" si="27"/>
        <v>-75967.50345488757</v>
      </c>
      <c r="G97" s="93">
        <f t="shared" si="27"/>
        <v>0</v>
      </c>
      <c r="H97" s="93">
        <f t="shared" si="27"/>
        <v>-8938290.8759999983</v>
      </c>
      <c r="I97" s="93">
        <f t="shared" si="27"/>
        <v>-75967.50345488757</v>
      </c>
    </row>
    <row r="98" spans="1:9" x14ac:dyDescent="0.3">
      <c r="A98" s="92" t="s">
        <v>88</v>
      </c>
      <c r="C98" s="93">
        <f t="shared" si="27"/>
        <v>-10250333.5</v>
      </c>
      <c r="D98" s="93">
        <f t="shared" si="27"/>
        <v>656021.31199999992</v>
      </c>
      <c r="E98" s="93">
        <f t="shared" si="27"/>
        <v>-12628410.811999999</v>
      </c>
      <c r="F98" s="93">
        <f t="shared" si="27"/>
        <v>-107330.23296056241</v>
      </c>
      <c r="G98" s="93">
        <f t="shared" si="27"/>
        <v>0</v>
      </c>
      <c r="H98" s="93">
        <f t="shared" si="27"/>
        <v>-12628410.811999999</v>
      </c>
      <c r="I98" s="93">
        <f t="shared" si="27"/>
        <v>-107330.23296056241</v>
      </c>
    </row>
    <row r="99" spans="1:9" x14ac:dyDescent="0.3">
      <c r="A99" s="92" t="s">
        <v>89</v>
      </c>
      <c r="C99" s="93">
        <f t="shared" si="27"/>
        <v>-10250333.5</v>
      </c>
      <c r="D99" s="93">
        <f t="shared" si="27"/>
        <v>0</v>
      </c>
      <c r="E99" s="93">
        <f t="shared" si="27"/>
        <v>-10250333.5</v>
      </c>
      <c r="F99" s="93">
        <f t="shared" si="27"/>
        <v>-87118.695998789728</v>
      </c>
      <c r="G99" s="93">
        <f t="shared" si="27"/>
        <v>0</v>
      </c>
      <c r="H99" s="93">
        <f t="shared" si="27"/>
        <v>-10250333.5</v>
      </c>
      <c r="I99" s="93">
        <f t="shared" si="27"/>
        <v>-87118.695998789743</v>
      </c>
    </row>
    <row r="100" spans="1:9" x14ac:dyDescent="0.3">
      <c r="A100" s="92" t="s">
        <v>90</v>
      </c>
      <c r="C100" s="93">
        <f t="shared" si="27"/>
        <v>-10250333.5</v>
      </c>
      <c r="D100" s="93">
        <f t="shared" si="27"/>
        <v>0</v>
      </c>
      <c r="E100" s="93">
        <f t="shared" si="27"/>
        <v>-10250333.5</v>
      </c>
      <c r="F100" s="93">
        <f t="shared" si="27"/>
        <v>-87118.695998789728</v>
      </c>
      <c r="G100" s="93">
        <f t="shared" si="27"/>
        <v>0</v>
      </c>
      <c r="H100" s="93">
        <f t="shared" si="27"/>
        <v>-10250333.5</v>
      </c>
      <c r="I100" s="93">
        <f t="shared" si="27"/>
        <v>-87118.695998789713</v>
      </c>
    </row>
    <row r="101" spans="1:9" x14ac:dyDescent="0.3">
      <c r="A101" s="92" t="s">
        <v>91</v>
      </c>
      <c r="C101" s="93">
        <f t="shared" si="27"/>
        <v>0</v>
      </c>
      <c r="D101" s="93">
        <f t="shared" si="27"/>
        <v>0</v>
      </c>
      <c r="E101" s="93">
        <f t="shared" si="27"/>
        <v>0</v>
      </c>
      <c r="F101" s="93">
        <f t="shared" si="27"/>
        <v>0</v>
      </c>
      <c r="G101" s="93">
        <f t="shared" si="27"/>
        <v>0</v>
      </c>
      <c r="H101" s="93">
        <f t="shared" si="27"/>
        <v>0</v>
      </c>
      <c r="I101" s="93">
        <f t="shared" si="27"/>
        <v>0</v>
      </c>
    </row>
    <row r="102" spans="1:9" x14ac:dyDescent="0.3">
      <c r="A102" s="92" t="s">
        <v>92</v>
      </c>
      <c r="C102" s="93">
        <f t="shared" ref="C102:I105" si="28">C80-C56</f>
        <v>0</v>
      </c>
      <c r="D102" s="93">
        <f t="shared" si="28"/>
        <v>0</v>
      </c>
      <c r="E102" s="93">
        <f t="shared" si="28"/>
        <v>0</v>
      </c>
      <c r="F102" s="93">
        <f t="shared" si="28"/>
        <v>0</v>
      </c>
      <c r="G102" s="93">
        <f t="shared" si="28"/>
        <v>0</v>
      </c>
      <c r="H102" s="93">
        <f t="shared" si="28"/>
        <v>0</v>
      </c>
      <c r="I102" s="93">
        <f t="shared" si="28"/>
        <v>0</v>
      </c>
    </row>
    <row r="103" spans="1:9" x14ac:dyDescent="0.3">
      <c r="A103" s="92" t="s">
        <v>93</v>
      </c>
      <c r="C103" s="93">
        <f t="shared" si="28"/>
        <v>0</v>
      </c>
      <c r="D103" s="93">
        <f t="shared" si="28"/>
        <v>0</v>
      </c>
      <c r="E103" s="93">
        <f t="shared" si="28"/>
        <v>0</v>
      </c>
      <c r="F103" s="93">
        <f t="shared" si="28"/>
        <v>0</v>
      </c>
      <c r="G103" s="93">
        <f t="shared" si="28"/>
        <v>0</v>
      </c>
      <c r="H103" s="93">
        <f t="shared" si="28"/>
        <v>0</v>
      </c>
      <c r="I103" s="93">
        <f t="shared" si="28"/>
        <v>0</v>
      </c>
    </row>
    <row r="104" spans="1:9" x14ac:dyDescent="0.3">
      <c r="A104" s="92" t="s">
        <v>94</v>
      </c>
      <c r="C104" s="93">
        <f t="shared" si="28"/>
        <v>-10250333.5</v>
      </c>
      <c r="D104" s="93">
        <f t="shared" si="28"/>
        <v>0</v>
      </c>
      <c r="E104" s="93">
        <f t="shared" si="28"/>
        <v>-10250333.5</v>
      </c>
      <c r="F104" s="93">
        <f t="shared" si="28"/>
        <v>-87118.695998789728</v>
      </c>
      <c r="G104" s="93">
        <f t="shared" si="28"/>
        <v>0</v>
      </c>
      <c r="H104" s="93">
        <f t="shared" si="28"/>
        <v>-10250333.5</v>
      </c>
      <c r="I104" s="93">
        <f t="shared" si="28"/>
        <v>-87118.695998789728</v>
      </c>
    </row>
    <row r="105" spans="1:9" x14ac:dyDescent="0.3">
      <c r="A105" s="92" t="s">
        <v>77</v>
      </c>
      <c r="C105" s="93">
        <f t="shared" si="28"/>
        <v>-83283961</v>
      </c>
      <c r="D105" s="93">
        <f t="shared" si="28"/>
        <v>83283952.999999523</v>
      </c>
      <c r="E105" s="93">
        <f t="shared" si="28"/>
        <v>-8.0000007152557373</v>
      </c>
      <c r="F105" s="93">
        <f t="shared" si="28"/>
        <v>-6.7992869764566422E-2</v>
      </c>
      <c r="G105" s="93">
        <f t="shared" si="28"/>
        <v>0</v>
      </c>
      <c r="H105" s="93">
        <f t="shared" si="28"/>
        <v>-8.0000004768371582</v>
      </c>
      <c r="I105" s="93">
        <f t="shared" si="28"/>
        <v>-6.799287348985672E-2</v>
      </c>
    </row>
    <row r="106" spans="1:9" x14ac:dyDescent="0.3">
      <c r="C106" s="93"/>
      <c r="D106" s="93"/>
      <c r="E106" s="93"/>
      <c r="F106" s="93"/>
      <c r="G106" s="93"/>
      <c r="H106" s="93"/>
      <c r="I106" s="93"/>
    </row>
  </sheetData>
  <mergeCells count="1">
    <mergeCell ref="A37:I3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814B-B322-4943-A629-A97E40A3C028}">
  <dimension ref="A1:J59"/>
  <sheetViews>
    <sheetView topLeftCell="A30" workbookViewId="0">
      <selection activeCell="D47" sqref="D47"/>
    </sheetView>
  </sheetViews>
  <sheetFormatPr defaultColWidth="9.109375" defaultRowHeight="14.4" x14ac:dyDescent="0.3"/>
  <cols>
    <col min="1" max="2" width="15.109375" style="79" customWidth="1"/>
    <col min="3" max="3" width="16.44140625" style="79" customWidth="1"/>
    <col min="4" max="4" width="13.6640625" style="79" customWidth="1"/>
    <col min="5" max="6" width="14.33203125" style="79" customWidth="1"/>
    <col min="7" max="7" width="11.44140625" style="79" customWidth="1"/>
    <col min="8" max="8" width="13.5546875" style="79" customWidth="1"/>
    <col min="9" max="9" width="11.6640625" style="79" customWidth="1"/>
    <col min="10" max="10" width="80.44140625" style="79" customWidth="1"/>
    <col min="11" max="16384" width="9.109375" style="79"/>
  </cols>
  <sheetData>
    <row r="1" spans="1:10" ht="28.8" x14ac:dyDescent="0.3">
      <c r="A1" s="82" t="s">
        <v>62</v>
      </c>
      <c r="B1" s="82" t="s">
        <v>81</v>
      </c>
      <c r="C1" s="82" t="s">
        <v>70</v>
      </c>
      <c r="D1" s="82" t="s">
        <v>71</v>
      </c>
      <c r="E1" s="82" t="s">
        <v>73</v>
      </c>
      <c r="F1" s="82" t="s">
        <v>74</v>
      </c>
      <c r="G1" s="82" t="s">
        <v>72</v>
      </c>
      <c r="H1" s="82" t="s">
        <v>75</v>
      </c>
      <c r="I1" s="68" t="s">
        <v>76</v>
      </c>
      <c r="J1" s="68" t="s">
        <v>78</v>
      </c>
    </row>
    <row r="2" spans="1:10" ht="15" thickBot="1" x14ac:dyDescent="0.35">
      <c r="A2" s="82" t="s">
        <v>63</v>
      </c>
      <c r="B2" s="82"/>
      <c r="C2" s="82">
        <f>'Raspodela budžetskog novca '!C2/4*5</f>
        <v>57658125</v>
      </c>
      <c r="D2" s="82">
        <f>553518000/6*5+46126500/4*5</f>
        <v>518923125</v>
      </c>
      <c r="E2" s="82">
        <f>C2+D2</f>
        <v>576581250</v>
      </c>
      <c r="F2" s="82">
        <f>E2/117.6594</f>
        <v>4900426.5702527799</v>
      </c>
      <c r="G2" s="82">
        <v>107000000</v>
      </c>
      <c r="H2" s="82">
        <f>E2+G2</f>
        <v>683581250</v>
      </c>
      <c r="I2" s="81">
        <f>H2/117.6594</f>
        <v>5809831.1737098778</v>
      </c>
      <c r="J2" s="80" t="s">
        <v>104</v>
      </c>
    </row>
    <row r="3" spans="1:10" ht="15" thickBot="1" x14ac:dyDescent="0.35">
      <c r="A3" s="82" t="s">
        <v>64</v>
      </c>
      <c r="B3" s="82"/>
      <c r="C3" s="82">
        <f>'Raspodela budžetskog novca '!C3/4*5</f>
        <v>57658125</v>
      </c>
      <c r="D3" s="82">
        <v>0</v>
      </c>
      <c r="E3" s="82">
        <f t="shared" ref="E3:E9" si="0">C3+D3</f>
        <v>57658125</v>
      </c>
      <c r="F3" s="82">
        <f t="shared" ref="F3:F9" si="1">E3/117.6594</f>
        <v>490042.65702527802</v>
      </c>
      <c r="G3" s="72">
        <v>3311500</v>
      </c>
      <c r="H3" s="82">
        <f t="shared" ref="H3:H9" si="2">E3+G3</f>
        <v>60969625</v>
      </c>
      <c r="I3" s="81">
        <f t="shared" ref="I3:I9" si="3">H3/117.6594</f>
        <v>518187.45463600865</v>
      </c>
      <c r="J3" s="80" t="s">
        <v>104</v>
      </c>
    </row>
    <row r="4" spans="1:10" ht="15" thickBot="1" x14ac:dyDescent="0.35">
      <c r="A4" s="82" t="s">
        <v>84</v>
      </c>
      <c r="B4" s="82"/>
      <c r="C4" s="82">
        <f>'Raspodela budžetskog novca '!C4/4*5</f>
        <v>57658125</v>
      </c>
      <c r="D4" s="82">
        <v>0</v>
      </c>
      <c r="E4" s="82">
        <f t="shared" si="0"/>
        <v>57658125</v>
      </c>
      <c r="F4" s="82">
        <f t="shared" si="1"/>
        <v>490042.65702527802</v>
      </c>
      <c r="G4" s="73">
        <v>917200</v>
      </c>
      <c r="H4" s="82">
        <f t="shared" si="2"/>
        <v>58575325</v>
      </c>
      <c r="I4" s="81">
        <f t="shared" si="3"/>
        <v>497838.03928967851</v>
      </c>
      <c r="J4" s="80" t="s">
        <v>104</v>
      </c>
    </row>
    <row r="5" spans="1:10" x14ac:dyDescent="0.3">
      <c r="A5" s="82" t="s">
        <v>66</v>
      </c>
      <c r="B5" s="82"/>
      <c r="C5" s="82">
        <f>'Raspodela budžetskog novca '!C5/4*5</f>
        <v>57658125</v>
      </c>
      <c r="D5" s="82">
        <v>0</v>
      </c>
      <c r="E5" s="82">
        <f t="shared" si="0"/>
        <v>57658125</v>
      </c>
      <c r="F5" s="82">
        <f t="shared" si="1"/>
        <v>490042.65702527802</v>
      </c>
      <c r="G5" s="74">
        <v>116000</v>
      </c>
      <c r="H5" s="82">
        <f t="shared" si="2"/>
        <v>57774125</v>
      </c>
      <c r="I5" s="81">
        <f t="shared" si="3"/>
        <v>491028.55360472685</v>
      </c>
      <c r="J5" s="80" t="s">
        <v>104</v>
      </c>
    </row>
    <row r="6" spans="1:10" ht="15" thickBot="1" x14ac:dyDescent="0.35">
      <c r="A6" s="82" t="s">
        <v>67</v>
      </c>
      <c r="B6" s="82"/>
      <c r="C6" s="82">
        <f>'Raspodela budžetskog novca '!C6/4*5</f>
        <v>57658125</v>
      </c>
      <c r="D6" s="82">
        <v>0</v>
      </c>
      <c r="E6" s="82">
        <f t="shared" si="0"/>
        <v>57658125</v>
      </c>
      <c r="F6" s="82">
        <f t="shared" si="1"/>
        <v>490042.65702527802</v>
      </c>
      <c r="G6" s="75">
        <v>0</v>
      </c>
      <c r="H6" s="82">
        <f t="shared" si="2"/>
        <v>57658125</v>
      </c>
      <c r="I6" s="81">
        <f t="shared" si="3"/>
        <v>490042.65702527802</v>
      </c>
      <c r="J6" s="80" t="s">
        <v>99</v>
      </c>
    </row>
    <row r="7" spans="1:10" x14ac:dyDescent="0.3">
      <c r="A7" s="82" t="s">
        <v>65</v>
      </c>
      <c r="B7" s="82"/>
      <c r="C7" s="82">
        <f>'Raspodela budžetskog novca '!C7/4*5</f>
        <v>57658125</v>
      </c>
      <c r="D7" s="82">
        <v>0</v>
      </c>
      <c r="E7" s="82">
        <f t="shared" si="0"/>
        <v>57658125</v>
      </c>
      <c r="F7" s="82">
        <f t="shared" si="1"/>
        <v>490042.65702527802</v>
      </c>
      <c r="G7" s="74">
        <v>544700</v>
      </c>
      <c r="H7" s="82">
        <f t="shared" si="2"/>
        <v>58202825</v>
      </c>
      <c r="I7" s="81">
        <f t="shared" si="3"/>
        <v>494672.12139446568</v>
      </c>
      <c r="J7" s="80" t="s">
        <v>104</v>
      </c>
    </row>
    <row r="8" spans="1:10" x14ac:dyDescent="0.3">
      <c r="A8" s="82" t="s">
        <v>68</v>
      </c>
      <c r="B8" s="82"/>
      <c r="C8" s="82">
        <f>'Raspodela budžetskog novca '!C8/4*5</f>
        <v>57658125</v>
      </c>
      <c r="D8" s="82">
        <v>0</v>
      </c>
      <c r="E8" s="82">
        <f t="shared" si="0"/>
        <v>57658125</v>
      </c>
      <c r="F8" s="82">
        <f t="shared" si="1"/>
        <v>490042.65702527802</v>
      </c>
      <c r="G8" s="75">
        <v>0</v>
      </c>
      <c r="H8" s="82">
        <f t="shared" si="2"/>
        <v>57658125</v>
      </c>
      <c r="I8" s="81">
        <f t="shared" si="3"/>
        <v>490042.65702527802</v>
      </c>
      <c r="J8" s="80" t="s">
        <v>99</v>
      </c>
    </row>
    <row r="9" spans="1:10" x14ac:dyDescent="0.3">
      <c r="A9" s="82" t="s">
        <v>69</v>
      </c>
      <c r="B9" s="82"/>
      <c r="C9" s="82">
        <v>0</v>
      </c>
      <c r="D9" s="82">
        <v>0</v>
      </c>
      <c r="E9" s="82">
        <f t="shared" si="0"/>
        <v>0</v>
      </c>
      <c r="F9" s="82">
        <f t="shared" si="1"/>
        <v>0</v>
      </c>
      <c r="G9" s="75">
        <v>0</v>
      </c>
      <c r="H9" s="82">
        <f t="shared" si="2"/>
        <v>0</v>
      </c>
      <c r="I9" s="81">
        <f t="shared" si="3"/>
        <v>0</v>
      </c>
      <c r="J9" s="80" t="s">
        <v>105</v>
      </c>
    </row>
    <row r="10" spans="1:10" x14ac:dyDescent="0.3">
      <c r="A10" s="76" t="s">
        <v>77</v>
      </c>
      <c r="B10" s="76"/>
      <c r="C10" s="77">
        <f>SUM(C2:C9)</f>
        <v>403606875</v>
      </c>
      <c r="D10" s="77">
        <f t="shared" ref="D10:I10" si="4">SUM(D2:D9)</f>
        <v>518923125</v>
      </c>
      <c r="E10" s="77">
        <f t="shared" si="4"/>
        <v>922530000</v>
      </c>
      <c r="F10" s="77">
        <f t="shared" si="4"/>
        <v>7840682.5124044456</v>
      </c>
      <c r="G10" s="77">
        <f t="shared" si="4"/>
        <v>111889400</v>
      </c>
      <c r="H10" s="77">
        <f t="shared" si="4"/>
        <v>1034419400</v>
      </c>
      <c r="I10" s="77">
        <f t="shared" si="4"/>
        <v>8791642.6566853132</v>
      </c>
      <c r="J10" s="80"/>
    </row>
    <row r="12" spans="1:10" ht="28.8" x14ac:dyDescent="0.3">
      <c r="A12" s="70" t="s">
        <v>79</v>
      </c>
      <c r="B12" s="82" t="s">
        <v>82</v>
      </c>
      <c r="C12" s="82" t="s">
        <v>70</v>
      </c>
      <c r="D12" s="82" t="s">
        <v>71</v>
      </c>
      <c r="E12" s="82" t="s">
        <v>73</v>
      </c>
      <c r="F12" s="82" t="s">
        <v>74</v>
      </c>
      <c r="G12" s="82" t="s">
        <v>72</v>
      </c>
      <c r="H12" s="82" t="s">
        <v>75</v>
      </c>
      <c r="I12" s="70" t="s">
        <v>76</v>
      </c>
      <c r="J12" s="70" t="s">
        <v>78</v>
      </c>
    </row>
    <row r="13" spans="1:10" x14ac:dyDescent="0.3">
      <c r="A13" s="70" t="s">
        <v>80</v>
      </c>
      <c r="B13" s="82">
        <v>120</v>
      </c>
      <c r="C13" s="82">
        <f>20500667/2</f>
        <v>10250333.5</v>
      </c>
      <c r="D13" s="82">
        <f>((922530000-(18*10250334)+10250334+10250334)/250*B13)</f>
        <v>364091834.88</v>
      </c>
      <c r="E13" s="82">
        <f>C13+D13</f>
        <v>374342168.38</v>
      </c>
      <c r="F13" s="82">
        <f>E13/117.6594</f>
        <v>3181574.6840456435</v>
      </c>
      <c r="G13" s="78">
        <v>67000000</v>
      </c>
      <c r="H13" s="82">
        <f>G13+E13</f>
        <v>441342168.38</v>
      </c>
      <c r="I13" s="82">
        <f>H13/117.6594</f>
        <v>3751014.9497617697</v>
      </c>
      <c r="J13" s="80" t="s">
        <v>104</v>
      </c>
    </row>
    <row r="14" spans="1:10" x14ac:dyDescent="0.3">
      <c r="A14" s="70" t="s">
        <v>64</v>
      </c>
      <c r="B14" s="82">
        <v>38</v>
      </c>
      <c r="C14" s="82">
        <f t="shared" ref="C14:C31" si="5">20500667/2</f>
        <v>10250333.5</v>
      </c>
      <c r="D14" s="82">
        <f t="shared" ref="D14:D24" si="6">((922530000-(18*10250334)+10250334+10250334)/250*B14)</f>
        <v>115295747.712</v>
      </c>
      <c r="E14" s="82">
        <f t="shared" ref="E14:E31" si="7">C14+D14</f>
        <v>125546081.212</v>
      </c>
      <c r="F14" s="82">
        <f t="shared" ref="F14:F31" si="8">E14/117.6594</f>
        <v>1067029.7588802935</v>
      </c>
      <c r="G14" s="83">
        <v>811000</v>
      </c>
      <c r="H14" s="82">
        <f t="shared" ref="H14:H31" si="9">G14+E14</f>
        <v>126357081.212</v>
      </c>
      <c r="I14" s="82">
        <f t="shared" ref="I14:I31" si="10">H14/117.6594</f>
        <v>1073922.5358279916</v>
      </c>
      <c r="J14" s="80" t="s">
        <v>104</v>
      </c>
    </row>
    <row r="15" spans="1:10" x14ac:dyDescent="0.3">
      <c r="A15" s="70" t="s">
        <v>83</v>
      </c>
      <c r="B15" s="82">
        <v>31</v>
      </c>
      <c r="C15" s="82">
        <f t="shared" si="5"/>
        <v>10250333.5</v>
      </c>
      <c r="D15" s="82">
        <f t="shared" si="6"/>
        <v>94057057.343999997</v>
      </c>
      <c r="E15" s="82">
        <f t="shared" si="7"/>
        <v>104307390.844</v>
      </c>
      <c r="F15" s="82">
        <f t="shared" si="8"/>
        <v>886519.82624422689</v>
      </c>
      <c r="G15" s="84">
        <v>119142800</v>
      </c>
      <c r="H15" s="82">
        <f t="shared" si="9"/>
        <v>223450190.84399998</v>
      </c>
      <c r="I15" s="82">
        <f t="shared" si="10"/>
        <v>1899127.4037093506</v>
      </c>
      <c r="J15" s="80" t="s">
        <v>104</v>
      </c>
    </row>
    <row r="16" spans="1:10" x14ac:dyDescent="0.3">
      <c r="A16" s="70" t="s">
        <v>84</v>
      </c>
      <c r="B16" s="82">
        <v>15</v>
      </c>
      <c r="C16" s="82">
        <f t="shared" si="5"/>
        <v>10250333.5</v>
      </c>
      <c r="D16" s="82">
        <f t="shared" si="6"/>
        <v>45511479.359999999</v>
      </c>
      <c r="E16" s="82">
        <f t="shared" si="7"/>
        <v>55761812.859999999</v>
      </c>
      <c r="F16" s="82">
        <f t="shared" si="8"/>
        <v>473925.69450464641</v>
      </c>
      <c r="G16" s="83">
        <v>6319200</v>
      </c>
      <c r="H16" s="82">
        <f t="shared" si="9"/>
        <v>62081012.859999999</v>
      </c>
      <c r="I16" s="82">
        <f t="shared" si="10"/>
        <v>527633.26058096508</v>
      </c>
      <c r="J16" s="80" t="s">
        <v>104</v>
      </c>
    </row>
    <row r="17" spans="1:10" x14ac:dyDescent="0.3">
      <c r="A17" s="70" t="s">
        <v>65</v>
      </c>
      <c r="B17" s="82">
        <v>13</v>
      </c>
      <c r="C17" s="82">
        <f t="shared" si="5"/>
        <v>10250333.5</v>
      </c>
      <c r="D17" s="82">
        <f t="shared" si="6"/>
        <v>39443282.111999996</v>
      </c>
      <c r="E17" s="82">
        <f t="shared" si="7"/>
        <v>49693615.611999996</v>
      </c>
      <c r="F17" s="82">
        <f t="shared" si="8"/>
        <v>422351.42803719884</v>
      </c>
      <c r="G17" s="83">
        <v>2219503</v>
      </c>
      <c r="H17" s="82">
        <f t="shared" si="9"/>
        <v>51913118.611999996</v>
      </c>
      <c r="I17" s="82">
        <f t="shared" si="10"/>
        <v>441215.22472492629</v>
      </c>
      <c r="J17" s="80" t="s">
        <v>104</v>
      </c>
    </row>
    <row r="18" spans="1:10" x14ac:dyDescent="0.3">
      <c r="A18" s="70" t="s">
        <v>66</v>
      </c>
      <c r="B18" s="82">
        <v>10</v>
      </c>
      <c r="C18" s="82">
        <f t="shared" si="5"/>
        <v>10250333.5</v>
      </c>
      <c r="D18" s="82">
        <f t="shared" si="6"/>
        <v>30340986.239999998</v>
      </c>
      <c r="E18" s="82">
        <f t="shared" si="7"/>
        <v>40591319.739999995</v>
      </c>
      <c r="F18" s="82">
        <f t="shared" si="8"/>
        <v>344990.02833602746</v>
      </c>
      <c r="G18" s="84">
        <v>1324800</v>
      </c>
      <c r="H18" s="82">
        <f t="shared" si="9"/>
        <v>41916119.739999995</v>
      </c>
      <c r="I18" s="82">
        <f t="shared" si="10"/>
        <v>356249.64720200846</v>
      </c>
      <c r="J18" s="80" t="s">
        <v>104</v>
      </c>
    </row>
    <row r="19" spans="1:10" x14ac:dyDescent="0.3">
      <c r="A19" s="70" t="s">
        <v>67</v>
      </c>
      <c r="B19" s="82">
        <v>10</v>
      </c>
      <c r="C19" s="82">
        <f t="shared" si="5"/>
        <v>10250333.5</v>
      </c>
      <c r="D19" s="82">
        <f t="shared" si="6"/>
        <v>30340986.239999998</v>
      </c>
      <c r="E19" s="82">
        <f t="shared" si="7"/>
        <v>40591319.739999995</v>
      </c>
      <c r="F19" s="82">
        <f t="shared" si="8"/>
        <v>344990.02833602746</v>
      </c>
      <c r="G19" s="83">
        <v>0</v>
      </c>
      <c r="H19" s="82">
        <f t="shared" si="9"/>
        <v>40591319.739999995</v>
      </c>
      <c r="I19" s="82">
        <f t="shared" si="10"/>
        <v>344990.02833602746</v>
      </c>
      <c r="J19" s="82" t="s">
        <v>98</v>
      </c>
    </row>
    <row r="20" spans="1:10" x14ac:dyDescent="0.3">
      <c r="A20" s="70" t="s">
        <v>85</v>
      </c>
      <c r="B20" s="82">
        <v>5</v>
      </c>
      <c r="C20" s="82">
        <f t="shared" si="5"/>
        <v>10250333.5</v>
      </c>
      <c r="D20" s="82">
        <f t="shared" si="6"/>
        <v>15170493.119999999</v>
      </c>
      <c r="E20" s="82">
        <f t="shared" si="7"/>
        <v>25420826.619999997</v>
      </c>
      <c r="F20" s="82">
        <f t="shared" si="8"/>
        <v>216054.3621674086</v>
      </c>
      <c r="G20" s="85">
        <v>14500000</v>
      </c>
      <c r="H20" s="82">
        <f t="shared" si="9"/>
        <v>39920826.619999997</v>
      </c>
      <c r="I20" s="82">
        <f t="shared" si="10"/>
        <v>339291.43459851056</v>
      </c>
      <c r="J20" s="80" t="s">
        <v>104</v>
      </c>
    </row>
    <row r="21" spans="1:10" ht="15" thickBot="1" x14ac:dyDescent="0.35">
      <c r="A21" s="70" t="s">
        <v>95</v>
      </c>
      <c r="B21" s="82">
        <v>3</v>
      </c>
      <c r="C21" s="82">
        <f t="shared" si="5"/>
        <v>10250333.5</v>
      </c>
      <c r="D21" s="82">
        <f t="shared" si="6"/>
        <v>9102295.8719999995</v>
      </c>
      <c r="E21" s="82">
        <f t="shared" si="7"/>
        <v>19352629.372000001</v>
      </c>
      <c r="F21" s="82">
        <f t="shared" si="8"/>
        <v>164480.09569996106</v>
      </c>
      <c r="G21" s="83">
        <v>0</v>
      </c>
      <c r="H21" s="82">
        <f t="shared" si="9"/>
        <v>19352629.372000001</v>
      </c>
      <c r="I21" s="82">
        <f t="shared" si="10"/>
        <v>164480.09569996106</v>
      </c>
      <c r="J21" s="80" t="s">
        <v>107</v>
      </c>
    </row>
    <row r="22" spans="1:10" ht="15" thickBot="1" x14ac:dyDescent="0.35">
      <c r="A22" s="70" t="s">
        <v>86</v>
      </c>
      <c r="B22" s="82">
        <v>2</v>
      </c>
      <c r="C22" s="82">
        <f t="shared" si="5"/>
        <v>10250333.5</v>
      </c>
      <c r="D22" s="82">
        <f t="shared" si="6"/>
        <v>6068197.2479999997</v>
      </c>
      <c r="E22" s="82">
        <f t="shared" si="7"/>
        <v>16318530.748</v>
      </c>
      <c r="F22" s="82">
        <f t="shared" si="8"/>
        <v>138692.96246623728</v>
      </c>
      <c r="G22" s="86">
        <v>3635000</v>
      </c>
      <c r="H22" s="82">
        <f t="shared" si="9"/>
        <v>19953530.748</v>
      </c>
      <c r="I22" s="82">
        <f t="shared" si="10"/>
        <v>169587.22165844802</v>
      </c>
      <c r="J22" s="80" t="s">
        <v>104</v>
      </c>
    </row>
    <row r="23" spans="1:10" x14ac:dyDescent="0.3">
      <c r="A23" s="70" t="s">
        <v>87</v>
      </c>
      <c r="B23" s="82">
        <v>2</v>
      </c>
      <c r="C23" s="82">
        <f t="shared" si="5"/>
        <v>10250333.5</v>
      </c>
      <c r="D23" s="82">
        <f t="shared" si="6"/>
        <v>6068197.2479999997</v>
      </c>
      <c r="E23" s="82">
        <f t="shared" si="7"/>
        <v>16318530.748</v>
      </c>
      <c r="F23" s="82">
        <f t="shared" si="8"/>
        <v>138692.96246623728</v>
      </c>
      <c r="G23" s="84">
        <v>81000</v>
      </c>
      <c r="H23" s="82">
        <f t="shared" si="9"/>
        <v>16399530.748</v>
      </c>
      <c r="I23" s="82">
        <f t="shared" si="10"/>
        <v>139381.39025016275</v>
      </c>
      <c r="J23" s="80" t="s">
        <v>104</v>
      </c>
    </row>
    <row r="24" spans="1:10" x14ac:dyDescent="0.3">
      <c r="A24" s="70" t="s">
        <v>88</v>
      </c>
      <c r="B24" s="82">
        <v>1</v>
      </c>
      <c r="C24" s="82">
        <f t="shared" si="5"/>
        <v>10250333.5</v>
      </c>
      <c r="D24" s="82">
        <f t="shared" si="6"/>
        <v>3034098.6239999998</v>
      </c>
      <c r="E24" s="82">
        <f t="shared" si="7"/>
        <v>13284432.124</v>
      </c>
      <c r="F24" s="82">
        <f t="shared" si="8"/>
        <v>112905.8292325135</v>
      </c>
      <c r="G24" s="83">
        <v>4410000</v>
      </c>
      <c r="H24" s="82">
        <f t="shared" si="9"/>
        <v>17694432.123999998</v>
      </c>
      <c r="I24" s="82">
        <f t="shared" si="10"/>
        <v>150386.89746845554</v>
      </c>
      <c r="J24" s="80" t="s">
        <v>104</v>
      </c>
    </row>
    <row r="25" spans="1:10" x14ac:dyDescent="0.3">
      <c r="A25" s="70" t="s">
        <v>68</v>
      </c>
      <c r="B25" s="82">
        <v>0</v>
      </c>
      <c r="C25" s="82">
        <f t="shared" si="5"/>
        <v>10250333.5</v>
      </c>
      <c r="D25" s="82">
        <f t="shared" ref="D25:D31" si="11">(922530000-(18*20500667)+20500667+20500667)/250*B25</f>
        <v>0</v>
      </c>
      <c r="E25" s="82">
        <f t="shared" si="7"/>
        <v>10250333.5</v>
      </c>
      <c r="F25" s="82">
        <f t="shared" si="8"/>
        <v>87118.695998789728</v>
      </c>
      <c r="G25" s="83">
        <v>0</v>
      </c>
      <c r="H25" s="82">
        <f t="shared" si="9"/>
        <v>10250333.5</v>
      </c>
      <c r="I25" s="82">
        <f t="shared" si="10"/>
        <v>87118.695998789728</v>
      </c>
      <c r="J25" s="82" t="s">
        <v>98</v>
      </c>
    </row>
    <row r="26" spans="1:10" x14ac:dyDescent="0.3">
      <c r="A26" s="70" t="s">
        <v>89</v>
      </c>
      <c r="B26" s="82">
        <v>0</v>
      </c>
      <c r="C26" s="82">
        <f t="shared" si="5"/>
        <v>10250333.5</v>
      </c>
      <c r="D26" s="82">
        <f t="shared" si="11"/>
        <v>0</v>
      </c>
      <c r="E26" s="82">
        <f t="shared" si="7"/>
        <v>10250333.5</v>
      </c>
      <c r="F26" s="82">
        <f t="shared" si="8"/>
        <v>87118.695998789728</v>
      </c>
      <c r="G26" s="85">
        <v>28510000</v>
      </c>
      <c r="H26" s="82">
        <f t="shared" si="9"/>
        <v>38760333.5</v>
      </c>
      <c r="I26" s="82">
        <f t="shared" si="10"/>
        <v>329428.27772366675</v>
      </c>
      <c r="J26" s="80" t="s">
        <v>104</v>
      </c>
    </row>
    <row r="27" spans="1:10" x14ac:dyDescent="0.3">
      <c r="A27" s="70" t="s">
        <v>90</v>
      </c>
      <c r="B27" s="82">
        <v>0</v>
      </c>
      <c r="C27" s="82">
        <f t="shared" si="5"/>
        <v>10250333.5</v>
      </c>
      <c r="D27" s="82">
        <f t="shared" si="11"/>
        <v>0</v>
      </c>
      <c r="E27" s="82">
        <f t="shared" si="7"/>
        <v>10250333.5</v>
      </c>
      <c r="F27" s="82">
        <f t="shared" si="8"/>
        <v>87118.695998789728</v>
      </c>
      <c r="G27" s="84">
        <v>3089500</v>
      </c>
      <c r="H27" s="82">
        <f t="shared" si="9"/>
        <v>13339833.5</v>
      </c>
      <c r="I27" s="82">
        <f t="shared" si="10"/>
        <v>113376.69153505797</v>
      </c>
      <c r="J27" s="80" t="s">
        <v>104</v>
      </c>
    </row>
    <row r="28" spans="1:10" x14ac:dyDescent="0.3">
      <c r="A28" s="70" t="s">
        <v>91</v>
      </c>
      <c r="B28" s="82">
        <v>0</v>
      </c>
      <c r="C28" s="82">
        <v>0</v>
      </c>
      <c r="D28" s="82">
        <f t="shared" si="11"/>
        <v>0</v>
      </c>
      <c r="E28" s="82">
        <f t="shared" si="7"/>
        <v>0</v>
      </c>
      <c r="F28" s="82">
        <f t="shared" si="8"/>
        <v>0</v>
      </c>
      <c r="G28" s="71">
        <v>0</v>
      </c>
      <c r="H28" s="82">
        <f t="shared" si="9"/>
        <v>0</v>
      </c>
      <c r="I28" s="82">
        <f t="shared" si="10"/>
        <v>0</v>
      </c>
      <c r="J28" s="82" t="s">
        <v>96</v>
      </c>
    </row>
    <row r="29" spans="1:10" ht="18" customHeight="1" x14ac:dyDescent="0.3">
      <c r="A29" s="70" t="s">
        <v>92</v>
      </c>
      <c r="B29" s="82">
        <v>0</v>
      </c>
      <c r="C29" s="82">
        <v>0</v>
      </c>
      <c r="D29" s="82">
        <f t="shared" si="11"/>
        <v>0</v>
      </c>
      <c r="E29" s="82">
        <f t="shared" si="7"/>
        <v>0</v>
      </c>
      <c r="F29" s="82">
        <f t="shared" si="8"/>
        <v>0</v>
      </c>
      <c r="G29" s="82">
        <v>0</v>
      </c>
      <c r="H29" s="82">
        <f t="shared" si="9"/>
        <v>0</v>
      </c>
      <c r="I29" s="82">
        <f t="shared" si="10"/>
        <v>0</v>
      </c>
      <c r="J29" s="82" t="s">
        <v>106</v>
      </c>
    </row>
    <row r="30" spans="1:10" ht="19.5" customHeight="1" x14ac:dyDescent="0.3">
      <c r="A30" s="70" t="s">
        <v>93</v>
      </c>
      <c r="B30" s="82">
        <v>0</v>
      </c>
      <c r="C30" s="82">
        <v>0</v>
      </c>
      <c r="D30" s="82">
        <f t="shared" si="11"/>
        <v>0</v>
      </c>
      <c r="E30" s="82">
        <f t="shared" si="7"/>
        <v>0</v>
      </c>
      <c r="F30" s="82">
        <f t="shared" si="8"/>
        <v>0</v>
      </c>
      <c r="G30" s="82">
        <v>0</v>
      </c>
      <c r="H30" s="82">
        <f t="shared" si="9"/>
        <v>0</v>
      </c>
      <c r="I30" s="82">
        <f t="shared" si="10"/>
        <v>0</v>
      </c>
      <c r="J30" s="82" t="s">
        <v>106</v>
      </c>
    </row>
    <row r="31" spans="1:10" x14ac:dyDescent="0.3">
      <c r="A31" s="70" t="s">
        <v>94</v>
      </c>
      <c r="B31" s="82">
        <v>0</v>
      </c>
      <c r="C31" s="82">
        <f t="shared" si="5"/>
        <v>10250333.5</v>
      </c>
      <c r="D31" s="82">
        <f t="shared" si="11"/>
        <v>0</v>
      </c>
      <c r="E31" s="82">
        <f t="shared" si="7"/>
        <v>10250333.5</v>
      </c>
      <c r="F31" s="82">
        <f t="shared" si="8"/>
        <v>87118.695998789728</v>
      </c>
      <c r="G31" s="82">
        <v>0</v>
      </c>
      <c r="H31" s="82">
        <f t="shared" si="9"/>
        <v>10250333.5</v>
      </c>
      <c r="I31" s="82">
        <f t="shared" si="10"/>
        <v>87118.695998789728</v>
      </c>
      <c r="J31" s="82" t="s">
        <v>97</v>
      </c>
    </row>
    <row r="32" spans="1:10" x14ac:dyDescent="0.3">
      <c r="A32" s="76" t="s">
        <v>77</v>
      </c>
      <c r="B32" s="88">
        <f>SUM(B13:B31)</f>
        <v>250</v>
      </c>
      <c r="C32" s="88">
        <f t="shared" ref="C32:I32" si="12">SUM(C13:C31)</f>
        <v>164005336</v>
      </c>
      <c r="D32" s="88">
        <f t="shared" si="12"/>
        <v>758524656</v>
      </c>
      <c r="E32" s="88">
        <f t="shared" si="12"/>
        <v>922529992</v>
      </c>
      <c r="F32" s="88">
        <f t="shared" si="12"/>
        <v>7840682.4444115823</v>
      </c>
      <c r="G32" s="88">
        <f t="shared" si="12"/>
        <v>251042803</v>
      </c>
      <c r="H32" s="88">
        <f t="shared" si="12"/>
        <v>1173572795</v>
      </c>
      <c r="I32" s="88">
        <f t="shared" si="12"/>
        <v>9974322.4510748796</v>
      </c>
      <c r="J32" s="82"/>
    </row>
    <row r="34" spans="1:9" ht="43.2" x14ac:dyDescent="0.3">
      <c r="A34" s="76" t="s">
        <v>101</v>
      </c>
      <c r="B34" s="87"/>
      <c r="C34" s="88" t="s">
        <v>70</v>
      </c>
      <c r="D34" s="88" t="s">
        <v>71</v>
      </c>
      <c r="E34" s="88" t="s">
        <v>73</v>
      </c>
      <c r="F34" s="88" t="s">
        <v>74</v>
      </c>
      <c r="G34" s="88" t="s">
        <v>72</v>
      </c>
      <c r="H34" s="88" t="s">
        <v>75</v>
      </c>
      <c r="I34" s="76" t="s">
        <v>76</v>
      </c>
    </row>
    <row r="35" spans="1:9" x14ac:dyDescent="0.3">
      <c r="A35" s="76" t="s">
        <v>100</v>
      </c>
      <c r="B35" s="87"/>
      <c r="C35" s="77">
        <f>C10+C32</f>
        <v>567612211</v>
      </c>
      <c r="D35" s="77">
        <f t="shared" ref="D35:I35" si="13">D10+D32</f>
        <v>1277447781</v>
      </c>
      <c r="E35" s="77">
        <f t="shared" si="13"/>
        <v>1845059992</v>
      </c>
      <c r="F35" s="77">
        <f t="shared" si="13"/>
        <v>15681364.956816029</v>
      </c>
      <c r="G35" s="77">
        <f t="shared" si="13"/>
        <v>362932203</v>
      </c>
      <c r="H35" s="77">
        <f t="shared" si="13"/>
        <v>2207992195</v>
      </c>
      <c r="I35" s="77">
        <f t="shared" si="13"/>
        <v>18765965.107760191</v>
      </c>
    </row>
    <row r="36" spans="1:9" x14ac:dyDescent="0.3">
      <c r="A36" s="89"/>
      <c r="B36" s="90"/>
      <c r="C36" s="91"/>
      <c r="D36" s="91"/>
      <c r="E36" s="91"/>
      <c r="F36" s="91"/>
      <c r="G36" s="91"/>
      <c r="H36" s="91"/>
      <c r="I36" s="91"/>
    </row>
    <row r="37" spans="1:9" x14ac:dyDescent="0.3">
      <c r="A37" s="215" t="s">
        <v>103</v>
      </c>
      <c r="B37" s="215"/>
      <c r="C37" s="215"/>
      <c r="D37" s="215"/>
      <c r="E37" s="215"/>
      <c r="F37" s="215"/>
      <c r="G37" s="215"/>
      <c r="H37" s="215"/>
      <c r="I37" s="215"/>
    </row>
    <row r="38" spans="1:9" ht="43.2" x14ac:dyDescent="0.3">
      <c r="A38" s="76" t="s">
        <v>102</v>
      </c>
      <c r="B38" s="87" t="s">
        <v>82</v>
      </c>
      <c r="C38" s="88" t="s">
        <v>70</v>
      </c>
      <c r="D38" s="88" t="s">
        <v>71</v>
      </c>
      <c r="E38" s="88" t="s">
        <v>73</v>
      </c>
      <c r="F38" s="88" t="s">
        <v>74</v>
      </c>
      <c r="G38" s="88" t="s">
        <v>72</v>
      </c>
      <c r="H38" s="88" t="s">
        <v>75</v>
      </c>
      <c r="I38" s="76" t="s">
        <v>76</v>
      </c>
    </row>
    <row r="39" spans="1:9" x14ac:dyDescent="0.3">
      <c r="A39" s="82" t="s">
        <v>63</v>
      </c>
      <c r="B39" s="81">
        <f>B13+B2</f>
        <v>120</v>
      </c>
      <c r="C39" s="81">
        <f t="shared" ref="C39:I40" si="14">C13+C2</f>
        <v>67908458.5</v>
      </c>
      <c r="D39" s="81">
        <f t="shared" si="14"/>
        <v>883014959.88</v>
      </c>
      <c r="E39" s="81">
        <f t="shared" si="14"/>
        <v>950923418.38</v>
      </c>
      <c r="F39" s="81">
        <f t="shared" si="14"/>
        <v>8082001.2542984234</v>
      </c>
      <c r="G39" s="81">
        <f t="shared" si="14"/>
        <v>174000000</v>
      </c>
      <c r="H39" s="81">
        <f t="shared" si="14"/>
        <v>1124923418.3800001</v>
      </c>
      <c r="I39" s="81">
        <f t="shared" si="14"/>
        <v>9560846.1234716475</v>
      </c>
    </row>
    <row r="40" spans="1:9" x14ac:dyDescent="0.3">
      <c r="A40" s="82" t="s">
        <v>64</v>
      </c>
      <c r="B40" s="81">
        <f>B14+B3</f>
        <v>38</v>
      </c>
      <c r="C40" s="81">
        <f t="shared" si="14"/>
        <v>67908458.5</v>
      </c>
      <c r="D40" s="81">
        <f t="shared" si="14"/>
        <v>115295747.712</v>
      </c>
      <c r="E40" s="81">
        <f t="shared" si="14"/>
        <v>183204206.21200001</v>
      </c>
      <c r="F40" s="81">
        <f t="shared" si="14"/>
        <v>1557072.4159055715</v>
      </c>
      <c r="G40" s="81">
        <f t="shared" si="14"/>
        <v>4122500</v>
      </c>
      <c r="H40" s="81">
        <f t="shared" si="14"/>
        <v>187326706.21200001</v>
      </c>
      <c r="I40" s="81">
        <f t="shared" si="14"/>
        <v>1592109.9904640003</v>
      </c>
    </row>
    <row r="41" spans="1:9" x14ac:dyDescent="0.3">
      <c r="A41" s="82" t="s">
        <v>84</v>
      </c>
      <c r="B41" s="81">
        <f>B16+B4</f>
        <v>15</v>
      </c>
      <c r="C41" s="81">
        <f t="shared" ref="C41:I41" si="15">C16+C4</f>
        <v>67908458.5</v>
      </c>
      <c r="D41" s="81">
        <f t="shared" si="15"/>
        <v>45511479.359999999</v>
      </c>
      <c r="E41" s="81">
        <f t="shared" si="15"/>
        <v>113419937.86</v>
      </c>
      <c r="F41" s="81">
        <f t="shared" si="15"/>
        <v>963968.35152992443</v>
      </c>
      <c r="G41" s="81">
        <f t="shared" si="15"/>
        <v>7236400</v>
      </c>
      <c r="H41" s="81">
        <f t="shared" si="15"/>
        <v>120656337.86</v>
      </c>
      <c r="I41" s="81">
        <f t="shared" si="15"/>
        <v>1025471.2998706435</v>
      </c>
    </row>
    <row r="42" spans="1:9" x14ac:dyDescent="0.3">
      <c r="A42" s="82" t="s">
        <v>66</v>
      </c>
      <c r="B42" s="81">
        <f>B18+B5</f>
        <v>10</v>
      </c>
      <c r="C42" s="81">
        <f t="shared" ref="C42:I43" si="16">C18+C5</f>
        <v>67908458.5</v>
      </c>
      <c r="D42" s="81">
        <f t="shared" si="16"/>
        <v>30340986.239999998</v>
      </c>
      <c r="E42" s="81">
        <f t="shared" si="16"/>
        <v>98249444.739999995</v>
      </c>
      <c r="F42" s="81">
        <f t="shared" si="16"/>
        <v>835032.68536130548</v>
      </c>
      <c r="G42" s="81">
        <f t="shared" si="16"/>
        <v>1440800</v>
      </c>
      <c r="H42" s="81">
        <f t="shared" si="16"/>
        <v>99690244.739999995</v>
      </c>
      <c r="I42" s="81">
        <f t="shared" si="16"/>
        <v>847278.20080673532</v>
      </c>
    </row>
    <row r="43" spans="1:9" x14ac:dyDescent="0.3">
      <c r="A43" s="82" t="s">
        <v>67</v>
      </c>
      <c r="B43" s="81">
        <f>B19+B6</f>
        <v>10</v>
      </c>
      <c r="C43" s="81">
        <f t="shared" si="16"/>
        <v>67908458.5</v>
      </c>
      <c r="D43" s="81">
        <f t="shared" si="16"/>
        <v>30340986.239999998</v>
      </c>
      <c r="E43" s="81">
        <f t="shared" si="16"/>
        <v>98249444.739999995</v>
      </c>
      <c r="F43" s="81">
        <f t="shared" si="16"/>
        <v>835032.68536130548</v>
      </c>
      <c r="G43" s="81">
        <f t="shared" si="16"/>
        <v>0</v>
      </c>
      <c r="H43" s="81">
        <f t="shared" si="16"/>
        <v>98249444.739999995</v>
      </c>
      <c r="I43" s="81">
        <f t="shared" si="16"/>
        <v>835032.68536130548</v>
      </c>
    </row>
    <row r="44" spans="1:9" x14ac:dyDescent="0.3">
      <c r="A44" s="82" t="s">
        <v>65</v>
      </c>
      <c r="B44" s="81">
        <f>B17+B7</f>
        <v>13</v>
      </c>
      <c r="C44" s="81">
        <f t="shared" ref="C44:I44" si="17">C17+C7</f>
        <v>67908458.5</v>
      </c>
      <c r="D44" s="81">
        <f t="shared" si="17"/>
        <v>39443282.111999996</v>
      </c>
      <c r="E44" s="81">
        <f t="shared" si="17"/>
        <v>107351740.61199999</v>
      </c>
      <c r="F44" s="81">
        <f t="shared" si="17"/>
        <v>912394.08506247681</v>
      </c>
      <c r="G44" s="81">
        <f t="shared" si="17"/>
        <v>2764203</v>
      </c>
      <c r="H44" s="81">
        <f t="shared" si="17"/>
        <v>110115943.61199999</v>
      </c>
      <c r="I44" s="81">
        <f t="shared" si="17"/>
        <v>935887.34611939196</v>
      </c>
    </row>
    <row r="45" spans="1:9" x14ac:dyDescent="0.3">
      <c r="A45" s="82" t="s">
        <v>68</v>
      </c>
      <c r="B45" s="81">
        <f>B25+B8</f>
        <v>0</v>
      </c>
      <c r="C45" s="81">
        <f t="shared" ref="C45:I45" si="18">C25+C8</f>
        <v>67908458.5</v>
      </c>
      <c r="D45" s="81">
        <f t="shared" si="18"/>
        <v>0</v>
      </c>
      <c r="E45" s="81">
        <f t="shared" si="18"/>
        <v>67908458.5</v>
      </c>
      <c r="F45" s="81">
        <f t="shared" si="18"/>
        <v>577161.35302406771</v>
      </c>
      <c r="G45" s="81">
        <f t="shared" si="18"/>
        <v>0</v>
      </c>
      <c r="H45" s="81">
        <f t="shared" si="18"/>
        <v>67908458.5</v>
      </c>
      <c r="I45" s="81">
        <f t="shared" si="18"/>
        <v>577161.35302406771</v>
      </c>
    </row>
    <row r="46" spans="1:9" x14ac:dyDescent="0.3">
      <c r="A46" s="82" t="s">
        <v>69</v>
      </c>
      <c r="B46" s="81">
        <f>B9</f>
        <v>0</v>
      </c>
      <c r="C46" s="81">
        <f t="shared" ref="C46:I46" si="19">C9</f>
        <v>0</v>
      </c>
      <c r="D46" s="81">
        <f t="shared" si="19"/>
        <v>0</v>
      </c>
      <c r="E46" s="81">
        <f t="shared" si="19"/>
        <v>0</v>
      </c>
      <c r="F46" s="81">
        <f t="shared" si="19"/>
        <v>0</v>
      </c>
      <c r="G46" s="81">
        <f t="shared" si="19"/>
        <v>0</v>
      </c>
      <c r="H46" s="81">
        <f t="shared" si="19"/>
        <v>0</v>
      </c>
      <c r="I46" s="81">
        <f t="shared" si="19"/>
        <v>0</v>
      </c>
    </row>
    <row r="47" spans="1:9" x14ac:dyDescent="0.3">
      <c r="A47" s="70" t="s">
        <v>83</v>
      </c>
      <c r="B47" s="81">
        <f>B15</f>
        <v>31</v>
      </c>
      <c r="C47" s="81">
        <f t="shared" ref="C47:I47" si="20">C15</f>
        <v>10250333.5</v>
      </c>
      <c r="D47" s="81">
        <f t="shared" si="20"/>
        <v>94057057.343999997</v>
      </c>
      <c r="E47" s="81">
        <f t="shared" si="20"/>
        <v>104307390.844</v>
      </c>
      <c r="F47" s="81">
        <f t="shared" si="20"/>
        <v>886519.82624422689</v>
      </c>
      <c r="G47" s="81">
        <f t="shared" si="20"/>
        <v>119142800</v>
      </c>
      <c r="H47" s="81">
        <f t="shared" si="20"/>
        <v>223450190.84399998</v>
      </c>
      <c r="I47" s="81">
        <f t="shared" si="20"/>
        <v>1899127.4037093506</v>
      </c>
    </row>
    <row r="48" spans="1:9" x14ac:dyDescent="0.3">
      <c r="A48" s="70" t="s">
        <v>85</v>
      </c>
      <c r="B48" s="81">
        <f>B20</f>
        <v>5</v>
      </c>
      <c r="C48" s="81">
        <f t="shared" ref="C48:I49" si="21">C20</f>
        <v>10250333.5</v>
      </c>
      <c r="D48" s="81">
        <f t="shared" si="21"/>
        <v>15170493.119999999</v>
      </c>
      <c r="E48" s="81">
        <f t="shared" si="21"/>
        <v>25420826.619999997</v>
      </c>
      <c r="F48" s="81">
        <f t="shared" si="21"/>
        <v>216054.3621674086</v>
      </c>
      <c r="G48" s="81">
        <f t="shared" si="21"/>
        <v>14500000</v>
      </c>
      <c r="H48" s="81">
        <f t="shared" si="21"/>
        <v>39920826.619999997</v>
      </c>
      <c r="I48" s="81">
        <f t="shared" si="21"/>
        <v>339291.43459851056</v>
      </c>
    </row>
    <row r="49" spans="1:9" x14ac:dyDescent="0.3">
      <c r="A49" s="70" t="str">
        <f>A21</f>
        <v>SPP</v>
      </c>
      <c r="B49" s="70">
        <f>B21</f>
        <v>3</v>
      </c>
      <c r="C49" s="70">
        <f t="shared" si="21"/>
        <v>10250333.5</v>
      </c>
      <c r="D49" s="70">
        <f t="shared" si="21"/>
        <v>9102295.8719999995</v>
      </c>
      <c r="E49" s="70">
        <f t="shared" si="21"/>
        <v>19352629.372000001</v>
      </c>
      <c r="F49" s="70">
        <f t="shared" si="21"/>
        <v>164480.09569996106</v>
      </c>
      <c r="G49" s="70">
        <f t="shared" si="21"/>
        <v>0</v>
      </c>
      <c r="H49" s="70">
        <f t="shared" si="21"/>
        <v>19352629.372000001</v>
      </c>
      <c r="I49" s="70">
        <f t="shared" si="21"/>
        <v>164480.09569996106</v>
      </c>
    </row>
    <row r="50" spans="1:9" x14ac:dyDescent="0.3">
      <c r="A50" s="70" t="s">
        <v>86</v>
      </c>
      <c r="B50" s="70">
        <f t="shared" ref="B50:I52" si="22">B22</f>
        <v>2</v>
      </c>
      <c r="C50" s="70">
        <f t="shared" si="22"/>
        <v>10250333.5</v>
      </c>
      <c r="D50" s="70">
        <f t="shared" si="22"/>
        <v>6068197.2479999997</v>
      </c>
      <c r="E50" s="70">
        <f t="shared" si="22"/>
        <v>16318530.748</v>
      </c>
      <c r="F50" s="70">
        <f t="shared" si="22"/>
        <v>138692.96246623728</v>
      </c>
      <c r="G50" s="70">
        <f t="shared" si="22"/>
        <v>3635000</v>
      </c>
      <c r="H50" s="70">
        <f t="shared" si="22"/>
        <v>19953530.748</v>
      </c>
      <c r="I50" s="70">
        <f t="shared" si="22"/>
        <v>169587.22165844802</v>
      </c>
    </row>
    <row r="51" spans="1:9" x14ac:dyDescent="0.3">
      <c r="A51" s="70" t="s">
        <v>87</v>
      </c>
      <c r="B51" s="70">
        <f t="shared" si="22"/>
        <v>2</v>
      </c>
      <c r="C51" s="70">
        <f t="shared" si="22"/>
        <v>10250333.5</v>
      </c>
      <c r="D51" s="70">
        <f t="shared" si="22"/>
        <v>6068197.2479999997</v>
      </c>
      <c r="E51" s="70">
        <f t="shared" si="22"/>
        <v>16318530.748</v>
      </c>
      <c r="F51" s="70">
        <f t="shared" si="22"/>
        <v>138692.96246623728</v>
      </c>
      <c r="G51" s="70">
        <f t="shared" si="22"/>
        <v>81000</v>
      </c>
      <c r="H51" s="70">
        <f t="shared" si="22"/>
        <v>16399530.748</v>
      </c>
      <c r="I51" s="70">
        <f t="shared" si="22"/>
        <v>139381.39025016275</v>
      </c>
    </row>
    <row r="52" spans="1:9" x14ac:dyDescent="0.3">
      <c r="A52" s="70" t="s">
        <v>88</v>
      </c>
      <c r="B52" s="70">
        <f t="shared" si="22"/>
        <v>1</v>
      </c>
      <c r="C52" s="70">
        <f t="shared" si="22"/>
        <v>10250333.5</v>
      </c>
      <c r="D52" s="70">
        <f t="shared" si="22"/>
        <v>3034098.6239999998</v>
      </c>
      <c r="E52" s="70">
        <f t="shared" si="22"/>
        <v>13284432.124</v>
      </c>
      <c r="F52" s="70">
        <f t="shared" si="22"/>
        <v>112905.8292325135</v>
      </c>
      <c r="G52" s="70">
        <f t="shared" si="22"/>
        <v>4410000</v>
      </c>
      <c r="H52" s="70">
        <f t="shared" si="22"/>
        <v>17694432.123999998</v>
      </c>
      <c r="I52" s="70">
        <f t="shared" si="22"/>
        <v>150386.89746845554</v>
      </c>
    </row>
    <row r="53" spans="1:9" x14ac:dyDescent="0.3">
      <c r="A53" s="70" t="s">
        <v>89</v>
      </c>
      <c r="B53" s="81">
        <f>B26</f>
        <v>0</v>
      </c>
      <c r="C53" s="81">
        <f t="shared" ref="C53:I53" si="23">C26</f>
        <v>10250333.5</v>
      </c>
      <c r="D53" s="81">
        <f t="shared" si="23"/>
        <v>0</v>
      </c>
      <c r="E53" s="81">
        <f t="shared" si="23"/>
        <v>10250333.5</v>
      </c>
      <c r="F53" s="81">
        <f t="shared" si="23"/>
        <v>87118.695998789728</v>
      </c>
      <c r="G53" s="81">
        <f t="shared" si="23"/>
        <v>28510000</v>
      </c>
      <c r="H53" s="81">
        <f t="shared" si="23"/>
        <v>38760333.5</v>
      </c>
      <c r="I53" s="81">
        <f t="shared" si="23"/>
        <v>329428.27772366675</v>
      </c>
    </row>
    <row r="54" spans="1:9" x14ac:dyDescent="0.3">
      <c r="A54" s="70" t="s">
        <v>90</v>
      </c>
      <c r="B54" s="81">
        <f t="shared" ref="B54:I58" si="24">B27</f>
        <v>0</v>
      </c>
      <c r="C54" s="81">
        <f t="shared" si="24"/>
        <v>10250333.5</v>
      </c>
      <c r="D54" s="81">
        <f t="shared" si="24"/>
        <v>0</v>
      </c>
      <c r="E54" s="81">
        <f t="shared" si="24"/>
        <v>10250333.5</v>
      </c>
      <c r="F54" s="81">
        <f t="shared" si="24"/>
        <v>87118.695998789728</v>
      </c>
      <c r="G54" s="81">
        <f t="shared" si="24"/>
        <v>3089500</v>
      </c>
      <c r="H54" s="81">
        <f t="shared" si="24"/>
        <v>13339833.5</v>
      </c>
      <c r="I54" s="81">
        <f t="shared" si="24"/>
        <v>113376.69153505797</v>
      </c>
    </row>
    <row r="55" spans="1:9" x14ac:dyDescent="0.3">
      <c r="A55" s="70" t="s">
        <v>91</v>
      </c>
      <c r="B55" s="81">
        <f t="shared" si="24"/>
        <v>0</v>
      </c>
      <c r="C55" s="81">
        <f t="shared" si="24"/>
        <v>0</v>
      </c>
      <c r="D55" s="81">
        <f t="shared" si="24"/>
        <v>0</v>
      </c>
      <c r="E55" s="81">
        <f t="shared" si="24"/>
        <v>0</v>
      </c>
      <c r="F55" s="81">
        <f t="shared" si="24"/>
        <v>0</v>
      </c>
      <c r="G55" s="81">
        <f t="shared" si="24"/>
        <v>0</v>
      </c>
      <c r="H55" s="81">
        <f t="shared" si="24"/>
        <v>0</v>
      </c>
      <c r="I55" s="81">
        <f t="shared" si="24"/>
        <v>0</v>
      </c>
    </row>
    <row r="56" spans="1:9" x14ac:dyDescent="0.3">
      <c r="A56" s="70" t="s">
        <v>92</v>
      </c>
      <c r="B56" s="81">
        <f t="shared" si="24"/>
        <v>0</v>
      </c>
      <c r="C56" s="81">
        <f t="shared" si="24"/>
        <v>0</v>
      </c>
      <c r="D56" s="81">
        <f t="shared" si="24"/>
        <v>0</v>
      </c>
      <c r="E56" s="81">
        <f t="shared" si="24"/>
        <v>0</v>
      </c>
      <c r="F56" s="81">
        <f t="shared" si="24"/>
        <v>0</v>
      </c>
      <c r="G56" s="81">
        <f t="shared" si="24"/>
        <v>0</v>
      </c>
      <c r="H56" s="81">
        <f t="shared" si="24"/>
        <v>0</v>
      </c>
      <c r="I56" s="81">
        <f t="shared" si="24"/>
        <v>0</v>
      </c>
    </row>
    <row r="57" spans="1:9" x14ac:dyDescent="0.3">
      <c r="A57" s="70" t="s">
        <v>93</v>
      </c>
      <c r="B57" s="81">
        <f t="shared" si="24"/>
        <v>0</v>
      </c>
      <c r="C57" s="81">
        <f t="shared" si="24"/>
        <v>0</v>
      </c>
      <c r="D57" s="81">
        <f t="shared" si="24"/>
        <v>0</v>
      </c>
      <c r="E57" s="81">
        <f t="shared" si="24"/>
        <v>0</v>
      </c>
      <c r="F57" s="81">
        <f t="shared" si="24"/>
        <v>0</v>
      </c>
      <c r="G57" s="81">
        <f t="shared" si="24"/>
        <v>0</v>
      </c>
      <c r="H57" s="81">
        <f t="shared" si="24"/>
        <v>0</v>
      </c>
      <c r="I57" s="81">
        <f t="shared" si="24"/>
        <v>0</v>
      </c>
    </row>
    <row r="58" spans="1:9" x14ac:dyDescent="0.3">
      <c r="A58" s="70" t="s">
        <v>94</v>
      </c>
      <c r="B58" s="81">
        <f t="shared" si="24"/>
        <v>0</v>
      </c>
      <c r="C58" s="81">
        <f t="shared" si="24"/>
        <v>10250333.5</v>
      </c>
      <c r="D58" s="81">
        <f t="shared" si="24"/>
        <v>0</v>
      </c>
      <c r="E58" s="81">
        <f t="shared" si="24"/>
        <v>10250333.5</v>
      </c>
      <c r="F58" s="81">
        <f t="shared" si="24"/>
        <v>87118.695998789728</v>
      </c>
      <c r="G58" s="81">
        <f t="shared" si="24"/>
        <v>0</v>
      </c>
      <c r="H58" s="81">
        <f t="shared" si="24"/>
        <v>10250333.5</v>
      </c>
      <c r="I58" s="81">
        <f t="shared" si="24"/>
        <v>87118.695998789728</v>
      </c>
    </row>
    <row r="59" spans="1:9" x14ac:dyDescent="0.3">
      <c r="A59" s="76" t="s">
        <v>77</v>
      </c>
      <c r="B59" s="77">
        <f>SUM(B39:B58)</f>
        <v>250</v>
      </c>
      <c r="C59" s="77">
        <f t="shared" ref="C59:I59" si="25">SUM(C39:C58)</f>
        <v>567612211</v>
      </c>
      <c r="D59" s="77">
        <f t="shared" si="25"/>
        <v>1277447780.9999998</v>
      </c>
      <c r="E59" s="77">
        <f t="shared" si="25"/>
        <v>1845059991.9999998</v>
      </c>
      <c r="F59" s="77">
        <f t="shared" si="25"/>
        <v>15681364.956816029</v>
      </c>
      <c r="G59" s="77">
        <f t="shared" si="25"/>
        <v>362932203</v>
      </c>
      <c r="H59" s="77">
        <f t="shared" si="25"/>
        <v>2207992195</v>
      </c>
      <c r="I59" s="77">
        <f t="shared" si="25"/>
        <v>18765965.107760195</v>
      </c>
    </row>
  </sheetData>
  <mergeCells count="1">
    <mergeCell ref="A37:I3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9004-6482-4B54-B75A-B52C243AD1BD}">
  <dimension ref="A1:G32"/>
  <sheetViews>
    <sheetView workbookViewId="0">
      <selection activeCell="C7" sqref="C7"/>
    </sheetView>
  </sheetViews>
  <sheetFormatPr defaultRowHeight="14.4" x14ac:dyDescent="0.3"/>
  <cols>
    <col min="1" max="1" width="15.109375" customWidth="1"/>
    <col min="2" max="2" width="14.5546875" customWidth="1"/>
    <col min="3" max="3" width="85.6640625" customWidth="1"/>
    <col min="4" max="4" width="37.6640625" customWidth="1"/>
    <col min="5" max="5" width="22.44140625" customWidth="1"/>
  </cols>
  <sheetData>
    <row r="1" spans="1:7" ht="15" thickBot="1" x14ac:dyDescent="0.35">
      <c r="A1" s="216" t="s">
        <v>55</v>
      </c>
      <c r="B1" s="216"/>
      <c r="C1" s="216"/>
    </row>
    <row r="2" spans="1:7" ht="18" x14ac:dyDescent="0.35">
      <c r="A2" s="223" t="s">
        <v>42</v>
      </c>
      <c r="B2" s="224"/>
      <c r="C2" s="225"/>
    </row>
    <row r="3" spans="1:7" x14ac:dyDescent="0.3">
      <c r="A3" s="16" t="s">
        <v>4</v>
      </c>
      <c r="B3" s="17" t="s">
        <v>5</v>
      </c>
      <c r="C3" s="18" t="s">
        <v>6</v>
      </c>
      <c r="D3" s="1"/>
      <c r="E3" s="1"/>
      <c r="F3" s="1"/>
      <c r="G3" s="1"/>
    </row>
    <row r="4" spans="1:7" x14ac:dyDescent="0.3">
      <c r="A4" s="21">
        <f>'Na osnovu starog ZFPA'!A7+'Na osnovu starog ZFPA'!A18</f>
        <v>67908458.333333328</v>
      </c>
      <c r="B4" s="22">
        <f>A4/117.647</f>
        <v>577222.18444442551</v>
      </c>
      <c r="C4" s="23" t="s">
        <v>40</v>
      </c>
      <c r="D4" s="1"/>
      <c r="E4" s="1"/>
      <c r="F4" s="1"/>
      <c r="G4" s="1"/>
    </row>
    <row r="5" spans="1:7" x14ac:dyDescent="0.3">
      <c r="A5" s="21">
        <f>'Na osnovu novog ZFPA'!A7+'Na osnovu novog ZFPA'!A19</f>
        <v>66627166.666666672</v>
      </c>
      <c r="B5" s="22">
        <f>A5/117.647</f>
        <v>566331.19983226655</v>
      </c>
      <c r="C5" s="23" t="s">
        <v>41</v>
      </c>
      <c r="E5" s="1"/>
      <c r="F5" s="1"/>
      <c r="G5" s="1"/>
    </row>
    <row r="6" spans="1:7" x14ac:dyDescent="0.3">
      <c r="A6" s="30">
        <f>A5-A4</f>
        <v>-1281291.6666666567</v>
      </c>
      <c r="B6" s="30">
        <f>B5-B4</f>
        <v>-10890.984612158965</v>
      </c>
      <c r="C6" s="31" t="s">
        <v>27</v>
      </c>
      <c r="E6" s="1"/>
      <c r="F6" s="1"/>
      <c r="G6" s="1"/>
    </row>
    <row r="7" spans="1:7" x14ac:dyDescent="0.3">
      <c r="A7" s="24">
        <f>'Na osnovu starog ZFPA'!A22+'Na osnovu starog ZFPA'!A7</f>
        <v>91525226.333333343</v>
      </c>
      <c r="B7" s="25">
        <f>A7/117.647</f>
        <v>777964.81281573977</v>
      </c>
      <c r="C7" s="26" t="s">
        <v>43</v>
      </c>
      <c r="D7" s="1"/>
      <c r="E7" s="1"/>
    </row>
    <row r="8" spans="1:7" x14ac:dyDescent="0.3">
      <c r="A8" s="24">
        <f>'Na osnovu novog ZFPA'!A23+'Na osnovu novog ZFPA'!A7</f>
        <v>84339742.666666672</v>
      </c>
      <c r="B8" s="25">
        <f>A8/117.647</f>
        <v>716888.17111075227</v>
      </c>
      <c r="C8" s="26" t="s">
        <v>44</v>
      </c>
      <c r="D8" s="1"/>
      <c r="E8" s="1"/>
    </row>
    <row r="9" spans="1:7" x14ac:dyDescent="0.3">
      <c r="A9" s="33">
        <f>A8-A7</f>
        <v>-7185483.6666666716</v>
      </c>
      <c r="B9" s="33">
        <f>B8-B7</f>
        <v>-61076.641704987502</v>
      </c>
      <c r="C9" s="32" t="s">
        <v>27</v>
      </c>
      <c r="D9" s="1"/>
      <c r="E9" s="1"/>
    </row>
    <row r="10" spans="1:7" x14ac:dyDescent="0.3">
      <c r="A10" s="46">
        <f>'Na osnovu starog ZFPA'!A23+'Na osnovu starog ZFPA'!A7</f>
        <v>156471338.33333331</v>
      </c>
      <c r="B10" s="47">
        <f>A10/117.647</f>
        <v>1330007.0408368534</v>
      </c>
      <c r="C10" s="48" t="s">
        <v>45</v>
      </c>
      <c r="D10" s="1"/>
      <c r="E10" s="1"/>
    </row>
    <row r="11" spans="1:7" x14ac:dyDescent="0.3">
      <c r="A11" s="46">
        <f>'Na osnovu novog ZFPA'!A24+'Na osnovu novog ZFPA'!A7</f>
        <v>133049326.66666667</v>
      </c>
      <c r="B11" s="47">
        <f>A11/117.647</f>
        <v>1130919.8421265876</v>
      </c>
      <c r="C11" s="48" t="s">
        <v>46</v>
      </c>
      <c r="D11" s="1"/>
      <c r="E11" s="1"/>
    </row>
    <row r="12" spans="1:7" x14ac:dyDescent="0.3">
      <c r="A12" s="49">
        <f>A11-A10</f>
        <v>-23422011.666666642</v>
      </c>
      <c r="B12" s="50">
        <f>A12/117.647</f>
        <v>-199087.1987102658</v>
      </c>
      <c r="C12" s="51" t="s">
        <v>27</v>
      </c>
      <c r="D12" s="1"/>
      <c r="E12" s="1"/>
    </row>
    <row r="13" spans="1:7" x14ac:dyDescent="0.3">
      <c r="A13" s="61">
        <f>'Na osnovu starog ZFPA'!A24+'Na osnovu starog ZFPA'!A7</f>
        <v>289315658.33333337</v>
      </c>
      <c r="B13" s="63">
        <f>A13/117.647</f>
        <v>2459184.3254254963</v>
      </c>
      <c r="C13" s="62" t="s">
        <v>51</v>
      </c>
      <c r="D13" s="1"/>
      <c r="E13" s="1"/>
    </row>
    <row r="14" spans="1:7" x14ac:dyDescent="0.3">
      <c r="A14" s="61">
        <f>'Na osnovu novog ZFPA'!A25+'Na osnovu novog ZFPA'!A7</f>
        <v>232682566.66666666</v>
      </c>
      <c r="B14" s="63">
        <f t="shared" ref="B14:B15" si="0">A14/117.647</f>
        <v>1977802.8055680692</v>
      </c>
      <c r="C14" s="62" t="s">
        <v>51</v>
      </c>
      <c r="D14" s="1"/>
      <c r="E14" s="1"/>
    </row>
    <row r="15" spans="1:7" x14ac:dyDescent="0.3">
      <c r="A15" s="55">
        <f>A14-A13</f>
        <v>-56633091.666666716</v>
      </c>
      <c r="B15" s="56">
        <f t="shared" si="0"/>
        <v>-481381.51985742699</v>
      </c>
      <c r="C15" s="57" t="s">
        <v>27</v>
      </c>
      <c r="D15" s="1"/>
      <c r="E15" s="1"/>
    </row>
    <row r="16" spans="1:7" x14ac:dyDescent="0.3">
      <c r="A16" s="64">
        <f>'Na osnovu starog ZFPA'!A24+'Na osnovu starog ZFPA'!A9</f>
        <v>519948158.33333337</v>
      </c>
      <c r="B16" s="65">
        <f>A16/117.647</f>
        <v>4419561.555614111</v>
      </c>
      <c r="C16" s="66" t="s">
        <v>52</v>
      </c>
      <c r="D16" s="1"/>
      <c r="E16" s="1"/>
    </row>
    <row r="17" spans="1:5" x14ac:dyDescent="0.3">
      <c r="A17" s="64">
        <f>'Na osnovu novog ZFPA'!A25+'Na osnovu novog ZFPA'!A9+'Na osnovu novog ZFPA'!A7</f>
        <v>398737966.66666663</v>
      </c>
      <c r="B17" s="65">
        <f t="shared" ref="B17:B18" si="1">A17/117.647</f>
        <v>3389274.4113038718</v>
      </c>
      <c r="C17" s="66" t="s">
        <v>53</v>
      </c>
      <c r="D17" s="1"/>
      <c r="E17" s="1"/>
    </row>
    <row r="18" spans="1:5" x14ac:dyDescent="0.3">
      <c r="A18" s="52">
        <f>A17-A16</f>
        <v>-121210191.66666675</v>
      </c>
      <c r="B18" s="53">
        <f t="shared" si="1"/>
        <v>-1030287.1443102395</v>
      </c>
      <c r="C18" s="54" t="s">
        <v>27</v>
      </c>
      <c r="D18" s="1"/>
      <c r="E18" s="1"/>
    </row>
    <row r="19" spans="1:5" x14ac:dyDescent="0.3">
      <c r="A19" s="27">
        <f>'Na osnovu starog ZFPA'!A25+'Na osnovu starog ZFPA'!A10</f>
        <v>840527333.33333325</v>
      </c>
      <c r="B19" s="28">
        <f>A19/117.647</f>
        <v>7144485.905576285</v>
      </c>
      <c r="C19" s="29" t="s">
        <v>38</v>
      </c>
      <c r="D19" s="1"/>
      <c r="E19" s="1"/>
    </row>
    <row r="20" spans="1:5" x14ac:dyDescent="0.3">
      <c r="A20" s="27">
        <f>'Na osnovu novog ZFPA'!A26+'Na osnovu novog ZFPA'!A12</f>
        <v>896904166.66666675</v>
      </c>
      <c r="B20" s="28">
        <f t="shared" ref="B20:B21" si="2">A20/117.647</f>
        <v>7623689.2285112813</v>
      </c>
      <c r="C20" s="29" t="s">
        <v>29</v>
      </c>
      <c r="D20" s="1"/>
      <c r="E20" s="1"/>
    </row>
    <row r="21" spans="1:5" x14ac:dyDescent="0.3">
      <c r="A21" s="44">
        <f>A20-A19</f>
        <v>56376833.333333492</v>
      </c>
      <c r="B21" s="45">
        <f t="shared" si="2"/>
        <v>479203.3229349961</v>
      </c>
      <c r="C21" s="34" t="s">
        <v>27</v>
      </c>
      <c r="D21" s="1"/>
      <c r="E21" s="1"/>
    </row>
    <row r="22" spans="1:5" x14ac:dyDescent="0.3">
      <c r="A22" s="38">
        <f>'Na osnovu starog ZFPA'!A25+'Na osnovu starog ZFPA'!A9</f>
        <v>667552958.33333325</v>
      </c>
      <c r="B22" s="38">
        <f>A22/117.647</f>
        <v>5674202.9829348242</v>
      </c>
      <c r="C22" s="40" t="s">
        <v>39</v>
      </c>
      <c r="D22" s="1"/>
      <c r="E22" s="1"/>
    </row>
    <row r="23" spans="1:5" x14ac:dyDescent="0.3">
      <c r="A23" s="38">
        <f>'Na osnovu novog ZFPA'!A26+'Na osnovu novog ZFPA'!A10</f>
        <v>684722266.66666675</v>
      </c>
      <c r="B23" s="38">
        <f>A23/117.647</f>
        <v>5820142.1767377555</v>
      </c>
      <c r="C23" s="40" t="s">
        <v>30</v>
      </c>
      <c r="D23" s="1"/>
      <c r="E23" s="1"/>
    </row>
    <row r="24" spans="1:5" x14ac:dyDescent="0.3">
      <c r="A24" s="41">
        <f>A23-A22</f>
        <v>17169308.333333492</v>
      </c>
      <c r="B24" s="41">
        <f>A24/117.647</f>
        <v>145939.19380293158</v>
      </c>
      <c r="C24" s="39" t="s">
        <v>27</v>
      </c>
      <c r="D24" s="1"/>
      <c r="E24" s="1"/>
    </row>
    <row r="25" spans="1:5" x14ac:dyDescent="0.3">
      <c r="A25" s="35">
        <v>500000000</v>
      </c>
      <c r="B25" s="35">
        <f>A25/117.647</f>
        <v>4250002.1250010626</v>
      </c>
      <c r="C25" s="36" t="s">
        <v>37</v>
      </c>
      <c r="D25" s="1"/>
      <c r="E25" s="1"/>
    </row>
    <row r="26" spans="1:5" x14ac:dyDescent="0.3">
      <c r="A26" s="35">
        <f>A19-A25</f>
        <v>340527333.33333325</v>
      </c>
      <c r="B26" s="35">
        <f t="shared" ref="B26:B27" si="3">A26/117.647</f>
        <v>2894483.7805752228</v>
      </c>
      <c r="C26" s="36" t="s">
        <v>56</v>
      </c>
      <c r="D26" s="1"/>
      <c r="E26" s="1"/>
    </row>
    <row r="27" spans="1:5" ht="15" thickBot="1" x14ac:dyDescent="0.35">
      <c r="A27" s="37">
        <f>A20-A25</f>
        <v>396904166.66666675</v>
      </c>
      <c r="B27" s="35">
        <f t="shared" si="3"/>
        <v>3373687.1035102191</v>
      </c>
      <c r="C27" s="36" t="s">
        <v>57</v>
      </c>
      <c r="D27" s="1"/>
      <c r="E27" s="1"/>
    </row>
    <row r="28" spans="1:5" ht="15" thickBot="1" x14ac:dyDescent="0.35">
      <c r="A28" s="8"/>
      <c r="B28" s="9"/>
      <c r="C28" s="10"/>
    </row>
    <row r="29" spans="1:5" ht="29.25" customHeight="1" x14ac:dyDescent="0.3">
      <c r="A29" s="226" t="s">
        <v>35</v>
      </c>
      <c r="B29" s="227"/>
      <c r="C29" s="228"/>
    </row>
    <row r="30" spans="1:5" ht="18.75" customHeight="1" x14ac:dyDescent="0.3">
      <c r="A30" s="229" t="s">
        <v>31</v>
      </c>
      <c r="B30" s="230"/>
      <c r="C30" s="231"/>
    </row>
    <row r="31" spans="1:5" ht="28.5" customHeight="1" thickBot="1" x14ac:dyDescent="0.35">
      <c r="A31" s="217" t="s">
        <v>60</v>
      </c>
      <c r="B31" s="218"/>
      <c r="C31" s="219"/>
    </row>
    <row r="32" spans="1:5" ht="48" customHeight="1" thickBot="1" x14ac:dyDescent="0.35">
      <c r="A32" s="220" t="s">
        <v>28</v>
      </c>
      <c r="B32" s="221"/>
      <c r="C32" s="222"/>
    </row>
  </sheetData>
  <mergeCells count="6">
    <mergeCell ref="A1:C1"/>
    <mergeCell ref="A31:C31"/>
    <mergeCell ref="A32:C32"/>
    <mergeCell ref="A2:C2"/>
    <mergeCell ref="A29:C29"/>
    <mergeCell ref="A30:C30"/>
  </mergeCells>
  <pageMargins left="0.7" right="0.7" top="0.5" bottom="0.5" header="0.3" footer="0.3"/>
  <pageSetup orientation="landscape" r:id="rId1"/>
  <ignoredErrors>
    <ignoredError sqref="B9 B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6C6B0-8D95-47BF-82C1-A8C16FC1192C}">
  <dimension ref="A1:G45"/>
  <sheetViews>
    <sheetView workbookViewId="0">
      <selection activeCell="B20" sqref="B20"/>
    </sheetView>
  </sheetViews>
  <sheetFormatPr defaultRowHeight="14.4" x14ac:dyDescent="0.3"/>
  <cols>
    <col min="1" max="1" width="24.5546875" customWidth="1"/>
    <col min="2" max="2" width="21.6640625" customWidth="1"/>
    <col min="3" max="3" width="57.109375" customWidth="1"/>
    <col min="4" max="4" width="37.6640625" customWidth="1"/>
    <col min="5" max="5" width="22.44140625" customWidth="1"/>
  </cols>
  <sheetData>
    <row r="1" spans="1:7" ht="15" thickBot="1" x14ac:dyDescent="0.35">
      <c r="A1" s="216" t="s">
        <v>47</v>
      </c>
      <c r="B1" s="216"/>
      <c r="C1" s="216"/>
    </row>
    <row r="2" spans="1:7" x14ac:dyDescent="0.3">
      <c r="A2" s="238" t="s">
        <v>7</v>
      </c>
      <c r="B2" s="239"/>
      <c r="C2" s="240"/>
    </row>
    <row r="3" spans="1:7" x14ac:dyDescent="0.3">
      <c r="A3" s="16" t="s">
        <v>4</v>
      </c>
      <c r="B3" s="17" t="s">
        <v>5</v>
      </c>
      <c r="C3" s="18" t="s">
        <v>6</v>
      </c>
      <c r="D3" s="1"/>
      <c r="E3" s="1"/>
      <c r="F3" s="1"/>
      <c r="G3" s="1"/>
    </row>
    <row r="4" spans="1:7" x14ac:dyDescent="0.3">
      <c r="A4" s="4">
        <v>1317900000000</v>
      </c>
      <c r="B4" s="2">
        <f>A4/117.647</f>
        <v>11202155601.077801</v>
      </c>
      <c r="C4" s="5" t="s">
        <v>0</v>
      </c>
      <c r="D4" s="1"/>
      <c r="E4" s="1"/>
      <c r="F4" s="1"/>
      <c r="G4" s="1"/>
    </row>
    <row r="5" spans="1:7" x14ac:dyDescent="0.3">
      <c r="A5" s="4">
        <f>A4/10000*7</f>
        <v>922530000</v>
      </c>
      <c r="B5" s="2">
        <f t="shared" ref="B5:B12" si="0">A5/117.647</f>
        <v>7841508.9207544597</v>
      </c>
      <c r="C5" s="5" t="s">
        <v>1</v>
      </c>
      <c r="E5" s="1"/>
      <c r="F5" s="1"/>
      <c r="G5" s="1"/>
    </row>
    <row r="6" spans="1:7" x14ac:dyDescent="0.3">
      <c r="A6" s="4">
        <f>A5/100*40</f>
        <v>369012000</v>
      </c>
      <c r="B6" s="2">
        <f t="shared" si="0"/>
        <v>3136603.5683017839</v>
      </c>
      <c r="C6" s="5" t="s">
        <v>2</v>
      </c>
      <c r="D6" s="1"/>
      <c r="E6" s="1"/>
    </row>
    <row r="7" spans="1:7" x14ac:dyDescent="0.3">
      <c r="A7" s="4">
        <f>A6/8</f>
        <v>46126500</v>
      </c>
      <c r="B7" s="2">
        <f t="shared" si="0"/>
        <v>392075.44603772298</v>
      </c>
      <c r="C7" s="5" t="s">
        <v>58</v>
      </c>
      <c r="D7" s="1"/>
      <c r="E7" s="1"/>
    </row>
    <row r="8" spans="1:7" x14ac:dyDescent="0.3">
      <c r="A8" s="4">
        <f>A5/100*60</f>
        <v>553518000</v>
      </c>
      <c r="B8" s="2">
        <f t="shared" si="0"/>
        <v>4704905.3524526758</v>
      </c>
      <c r="C8" s="5" t="s">
        <v>23</v>
      </c>
      <c r="D8" s="1"/>
      <c r="E8" s="1"/>
    </row>
    <row r="9" spans="1:7" x14ac:dyDescent="0.3">
      <c r="A9" s="11">
        <f>A8/10*3</f>
        <v>166055400</v>
      </c>
      <c r="B9" s="2">
        <f t="shared" si="0"/>
        <v>1411471.6057358028</v>
      </c>
      <c r="C9" s="12" t="s">
        <v>24</v>
      </c>
      <c r="D9" s="1"/>
      <c r="E9" s="1"/>
    </row>
    <row r="10" spans="1:7" x14ac:dyDescent="0.3">
      <c r="A10" s="11">
        <f>A8/10*7</f>
        <v>387462600</v>
      </c>
      <c r="B10" s="2">
        <f t="shared" si="0"/>
        <v>3293433.7467168733</v>
      </c>
      <c r="C10" s="12" t="s">
        <v>25</v>
      </c>
      <c r="D10" s="1"/>
      <c r="E10" s="1"/>
    </row>
    <row r="11" spans="1:7" x14ac:dyDescent="0.3">
      <c r="A11" s="11">
        <f>A5/100*60</f>
        <v>553518000</v>
      </c>
      <c r="B11" s="2">
        <f t="shared" si="0"/>
        <v>4704905.3524526758</v>
      </c>
      <c r="C11" s="12" t="s">
        <v>26</v>
      </c>
      <c r="D11" s="1"/>
      <c r="E11" s="1"/>
    </row>
    <row r="12" spans="1:7" ht="15" thickBot="1" x14ac:dyDescent="0.35">
      <c r="A12" s="8">
        <f>A11+A7</f>
        <v>599644500</v>
      </c>
      <c r="B12" s="9">
        <f t="shared" si="0"/>
        <v>5096980.7984903986</v>
      </c>
      <c r="C12" s="10" t="s">
        <v>20</v>
      </c>
      <c r="D12" s="1"/>
      <c r="E12" s="1"/>
    </row>
    <row r="13" spans="1:7" ht="15" thickBot="1" x14ac:dyDescent="0.35">
      <c r="A13" s="3"/>
      <c r="B13" s="3"/>
      <c r="C13" s="3"/>
      <c r="D13" s="1"/>
      <c r="E13" s="1"/>
    </row>
    <row r="14" spans="1:7" x14ac:dyDescent="0.3">
      <c r="A14" s="238" t="s">
        <v>8</v>
      </c>
      <c r="B14" s="239"/>
      <c r="C14" s="240"/>
    </row>
    <row r="15" spans="1:7" x14ac:dyDescent="0.3">
      <c r="A15" s="16" t="s">
        <v>4</v>
      </c>
      <c r="B15" s="17" t="s">
        <v>5</v>
      </c>
      <c r="C15" s="18" t="s">
        <v>6</v>
      </c>
    </row>
    <row r="16" spans="1:7" x14ac:dyDescent="0.3">
      <c r="A16" s="4">
        <v>1317900000000</v>
      </c>
      <c r="B16" s="2">
        <f>A16/117.647</f>
        <v>11202155601.077801</v>
      </c>
      <c r="C16" s="5" t="s">
        <v>0</v>
      </c>
    </row>
    <row r="17" spans="1:3" x14ac:dyDescent="0.3">
      <c r="A17" s="4">
        <f>A16/10000*7</f>
        <v>922530000</v>
      </c>
      <c r="B17" s="2">
        <f t="shared" ref="B17:B26" si="1">A17/117.647</f>
        <v>7841508.9207544597</v>
      </c>
      <c r="C17" s="5" t="s">
        <v>1</v>
      </c>
    </row>
    <row r="18" spans="1:3" x14ac:dyDescent="0.3">
      <c r="A18" s="4">
        <f>A17/100*40</f>
        <v>369012000</v>
      </c>
      <c r="B18" s="2">
        <f t="shared" si="1"/>
        <v>3136603.5683017839</v>
      </c>
      <c r="C18" s="5" t="s">
        <v>2</v>
      </c>
    </row>
    <row r="19" spans="1:3" x14ac:dyDescent="0.3">
      <c r="A19" s="4">
        <f>A18/18</f>
        <v>20500666.666666668</v>
      </c>
      <c r="B19" s="2">
        <f t="shared" si="1"/>
        <v>174255.75379454356</v>
      </c>
      <c r="C19" s="5" t="s">
        <v>59</v>
      </c>
    </row>
    <row r="20" spans="1:3" x14ac:dyDescent="0.3">
      <c r="A20" s="4">
        <f>A17/100*60</f>
        <v>553518000</v>
      </c>
      <c r="B20" s="2">
        <f t="shared" si="1"/>
        <v>4704905.3524526758</v>
      </c>
      <c r="C20" s="5" t="s">
        <v>11</v>
      </c>
    </row>
    <row r="21" spans="1:3" x14ac:dyDescent="0.3">
      <c r="A21" s="4">
        <f>A20/250</f>
        <v>2214072</v>
      </c>
      <c r="B21" s="2">
        <f t="shared" si="1"/>
        <v>18819.621409810705</v>
      </c>
      <c r="C21" s="5" t="s">
        <v>3</v>
      </c>
    </row>
    <row r="22" spans="1:3" x14ac:dyDescent="0.3">
      <c r="A22" s="4">
        <f>A21*8</f>
        <v>17712576</v>
      </c>
      <c r="B22" s="2">
        <f t="shared" si="1"/>
        <v>150556.97127848564</v>
      </c>
      <c r="C22" s="5" t="s">
        <v>16</v>
      </c>
    </row>
    <row r="23" spans="1:3" x14ac:dyDescent="0.3">
      <c r="A23" s="4">
        <f>A22+A19</f>
        <v>38213242.666666672</v>
      </c>
      <c r="B23" s="2">
        <f t="shared" si="1"/>
        <v>324812.72507302923</v>
      </c>
      <c r="C23" s="5" t="s">
        <v>18</v>
      </c>
    </row>
    <row r="24" spans="1:3" x14ac:dyDescent="0.3">
      <c r="A24" s="4">
        <f>A21*30+A19</f>
        <v>86922826.666666672</v>
      </c>
      <c r="B24" s="2">
        <f t="shared" si="1"/>
        <v>738844.39608886477</v>
      </c>
      <c r="C24" s="5" t="s">
        <v>33</v>
      </c>
    </row>
    <row r="25" spans="1:3" x14ac:dyDescent="0.3">
      <c r="A25" s="11">
        <f>A19+A21*75</f>
        <v>186556066.66666666</v>
      </c>
      <c r="B25" s="2">
        <f t="shared" si="1"/>
        <v>1585727.3595303462</v>
      </c>
      <c r="C25" s="60" t="s">
        <v>49</v>
      </c>
    </row>
    <row r="26" spans="1:3" ht="15" thickBot="1" x14ac:dyDescent="0.35">
      <c r="A26" s="8">
        <f>A21*125+A19</f>
        <v>297259666.66666669</v>
      </c>
      <c r="B26" s="9">
        <f t="shared" si="1"/>
        <v>2526708.4300208818</v>
      </c>
      <c r="C26" s="7" t="s">
        <v>48</v>
      </c>
    </row>
    <row r="27" spans="1:3" ht="15" thickBot="1" x14ac:dyDescent="0.35">
      <c r="A27" s="3"/>
      <c r="B27" s="3"/>
      <c r="C27" s="43"/>
    </row>
    <row r="28" spans="1:3" x14ac:dyDescent="0.3">
      <c r="A28" s="241" t="s">
        <v>13</v>
      </c>
      <c r="B28" s="242"/>
      <c r="C28" s="243"/>
    </row>
    <row r="29" spans="1:3" x14ac:dyDescent="0.3">
      <c r="A29" s="19" t="s">
        <v>4</v>
      </c>
      <c r="B29" s="20" t="s">
        <v>5</v>
      </c>
      <c r="C29" s="15" t="s">
        <v>6</v>
      </c>
    </row>
    <row r="30" spans="1:3" x14ac:dyDescent="0.3">
      <c r="A30" s="14"/>
      <c r="B30" s="13"/>
      <c r="C30" s="15"/>
    </row>
    <row r="31" spans="1:3" x14ac:dyDescent="0.3">
      <c r="A31" s="42">
        <v>58627823</v>
      </c>
      <c r="B31" s="2">
        <f>A31/117.647</f>
        <v>498336.74466837232</v>
      </c>
      <c r="C31" s="5" t="s">
        <v>34</v>
      </c>
    </row>
    <row r="32" spans="1:3" x14ac:dyDescent="0.3">
      <c r="A32" s="4">
        <f>A31/100*40</f>
        <v>23451129.199999999</v>
      </c>
      <c r="B32" s="2">
        <f t="shared" ref="B32:B39" si="2">A32/117.647</f>
        <v>199334.69786734891</v>
      </c>
      <c r="C32" s="5" t="s">
        <v>2</v>
      </c>
    </row>
    <row r="33" spans="1:3" x14ac:dyDescent="0.3">
      <c r="A33" s="4">
        <f>A32/12</f>
        <v>1954260.7666666666</v>
      </c>
      <c r="B33" s="2">
        <f t="shared" si="2"/>
        <v>16611.224822279077</v>
      </c>
      <c r="C33" s="5" t="s">
        <v>61</v>
      </c>
    </row>
    <row r="34" spans="1:3" x14ac:dyDescent="0.3">
      <c r="A34" s="4">
        <f>A31/100*60</f>
        <v>35176693.799999997</v>
      </c>
      <c r="B34" s="2">
        <f t="shared" si="2"/>
        <v>299002.04680102336</v>
      </c>
      <c r="C34" s="5" t="s">
        <v>11</v>
      </c>
    </row>
    <row r="35" spans="1:3" x14ac:dyDescent="0.3">
      <c r="A35" s="4">
        <f>A34/110</f>
        <v>319788.12545454543</v>
      </c>
      <c r="B35" s="2">
        <f t="shared" si="2"/>
        <v>2718.2004254638487</v>
      </c>
      <c r="C35" s="5" t="s">
        <v>15</v>
      </c>
    </row>
    <row r="36" spans="1:3" x14ac:dyDescent="0.3">
      <c r="A36" s="4">
        <f>A35*3</f>
        <v>959364.37636363623</v>
      </c>
      <c r="B36" s="2">
        <f t="shared" si="2"/>
        <v>8154.601276391546</v>
      </c>
      <c r="C36" s="5" t="s">
        <v>14</v>
      </c>
    </row>
    <row r="37" spans="1:3" x14ac:dyDescent="0.3">
      <c r="A37" s="4">
        <f>A36+A33</f>
        <v>2913625.1430303026</v>
      </c>
      <c r="B37" s="2">
        <f t="shared" si="2"/>
        <v>24765.826098670619</v>
      </c>
      <c r="C37" s="5" t="s">
        <v>21</v>
      </c>
    </row>
    <row r="38" spans="1:3" x14ac:dyDescent="0.3">
      <c r="A38" s="4">
        <f>A35*55</f>
        <v>17588346.899999999</v>
      </c>
      <c r="B38" s="2">
        <f t="shared" si="2"/>
        <v>149501.02340051168</v>
      </c>
      <c r="C38" s="6" t="s">
        <v>12</v>
      </c>
    </row>
    <row r="39" spans="1:3" ht="15" thickBot="1" x14ac:dyDescent="0.35">
      <c r="A39" s="8">
        <f>A38+A33</f>
        <v>19542607.666666664</v>
      </c>
      <c r="B39" s="9">
        <f t="shared" si="2"/>
        <v>166112.24822279075</v>
      </c>
      <c r="C39" s="10" t="s">
        <v>17</v>
      </c>
    </row>
    <row r="40" spans="1:3" ht="31.5" customHeight="1" thickBot="1" x14ac:dyDescent="0.35">
      <c r="A40" s="58"/>
      <c r="B40" s="59"/>
      <c r="C40" s="7"/>
    </row>
    <row r="41" spans="1:3" ht="33" customHeight="1" x14ac:dyDescent="0.3">
      <c r="A41" s="226" t="s">
        <v>35</v>
      </c>
      <c r="B41" s="227"/>
      <c r="C41" s="228"/>
    </row>
    <row r="42" spans="1:3" ht="27" customHeight="1" x14ac:dyDescent="0.3">
      <c r="A42" s="229" t="s">
        <v>31</v>
      </c>
      <c r="B42" s="230"/>
      <c r="C42" s="231"/>
    </row>
    <row r="43" spans="1:3" ht="15" customHeight="1" x14ac:dyDescent="0.3">
      <c r="A43" s="232" t="s">
        <v>32</v>
      </c>
      <c r="B43" s="233"/>
      <c r="C43" s="234"/>
    </row>
    <row r="44" spans="1:3" x14ac:dyDescent="0.3">
      <c r="A44" s="232" t="s">
        <v>36</v>
      </c>
      <c r="B44" s="233"/>
      <c r="C44" s="234"/>
    </row>
    <row r="45" spans="1:3" ht="15" thickBot="1" x14ac:dyDescent="0.35">
      <c r="A45" s="235"/>
      <c r="B45" s="236"/>
      <c r="C45" s="237"/>
    </row>
  </sheetData>
  <mergeCells count="9">
    <mergeCell ref="A1:C1"/>
    <mergeCell ref="A43:C43"/>
    <mergeCell ref="A44:C44"/>
    <mergeCell ref="A45:C45"/>
    <mergeCell ref="A42:C42"/>
    <mergeCell ref="A2:C2"/>
    <mergeCell ref="A14:C14"/>
    <mergeCell ref="A28:C28"/>
    <mergeCell ref="A41:C4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2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836D-9449-45C9-92FB-A4721F541C36}">
  <dimension ref="A1:G44"/>
  <sheetViews>
    <sheetView workbookViewId="0">
      <selection activeCell="D19" sqref="D19"/>
    </sheetView>
  </sheetViews>
  <sheetFormatPr defaultRowHeight="14.4" x14ac:dyDescent="0.3"/>
  <cols>
    <col min="1" max="1" width="24.5546875" customWidth="1"/>
    <col min="2" max="2" width="21.6640625" customWidth="1"/>
    <col min="3" max="3" width="57.109375" customWidth="1"/>
    <col min="4" max="4" width="37.6640625" customWidth="1"/>
    <col min="5" max="5" width="22.44140625" customWidth="1"/>
  </cols>
  <sheetData>
    <row r="1" spans="1:7" ht="15" thickBot="1" x14ac:dyDescent="0.35">
      <c r="A1" s="216" t="s">
        <v>54</v>
      </c>
      <c r="B1" s="216"/>
      <c r="C1" s="216"/>
    </row>
    <row r="2" spans="1:7" x14ac:dyDescent="0.3">
      <c r="A2" s="238" t="s">
        <v>7</v>
      </c>
      <c r="B2" s="239"/>
      <c r="C2" s="240"/>
    </row>
    <row r="3" spans="1:7" x14ac:dyDescent="0.3">
      <c r="A3" s="16" t="s">
        <v>4</v>
      </c>
      <c r="B3" s="17" t="s">
        <v>5</v>
      </c>
      <c r="C3" s="18" t="s">
        <v>6</v>
      </c>
      <c r="D3" s="1"/>
      <c r="E3" s="1"/>
      <c r="F3" s="1"/>
      <c r="G3" s="1"/>
    </row>
    <row r="4" spans="1:7" x14ac:dyDescent="0.3">
      <c r="A4" s="4">
        <v>1317900000000</v>
      </c>
      <c r="B4" s="2">
        <f>A4/117.647</f>
        <v>11202155601.077801</v>
      </c>
      <c r="C4" s="5" t="s">
        <v>0</v>
      </c>
      <c r="D4" s="1"/>
      <c r="E4" s="1"/>
      <c r="F4" s="1"/>
      <c r="G4" s="1"/>
    </row>
    <row r="5" spans="1:7" x14ac:dyDescent="0.3">
      <c r="A5" s="4">
        <f>A4/10000*7</f>
        <v>922530000</v>
      </c>
      <c r="B5" s="2">
        <f t="shared" ref="B5:B11" si="0">A5/117.647</f>
        <v>7841508.9207544597</v>
      </c>
      <c r="C5" s="5" t="s">
        <v>1</v>
      </c>
      <c r="E5" s="1"/>
      <c r="F5" s="1"/>
      <c r="G5" s="1"/>
    </row>
    <row r="6" spans="1:7" x14ac:dyDescent="0.3">
      <c r="A6" s="4">
        <f>A5/2</f>
        <v>461265000</v>
      </c>
      <c r="B6" s="2">
        <f t="shared" si="0"/>
        <v>3920754.4603772298</v>
      </c>
      <c r="C6" s="5" t="s">
        <v>2</v>
      </c>
      <c r="D6" s="1"/>
      <c r="E6" s="1"/>
    </row>
    <row r="7" spans="1:7" x14ac:dyDescent="0.3">
      <c r="A7" s="4">
        <f>A6/8</f>
        <v>57658125</v>
      </c>
      <c r="B7" s="2">
        <f t="shared" si="0"/>
        <v>490094.30754715373</v>
      </c>
      <c r="C7" s="5" t="s">
        <v>58</v>
      </c>
      <c r="D7" s="1"/>
      <c r="E7" s="1"/>
    </row>
    <row r="8" spans="1:7" x14ac:dyDescent="0.3">
      <c r="A8" s="4">
        <f>A6/2</f>
        <v>230632500</v>
      </c>
      <c r="B8" s="2">
        <f t="shared" si="0"/>
        <v>1960377.2301886149</v>
      </c>
      <c r="C8" s="5" t="s">
        <v>9</v>
      </c>
      <c r="D8" s="1"/>
      <c r="E8" s="1"/>
    </row>
    <row r="9" spans="1:7" x14ac:dyDescent="0.3">
      <c r="A9" s="11">
        <f>A8+A7</f>
        <v>288290625</v>
      </c>
      <c r="B9" s="2">
        <f t="shared" si="0"/>
        <v>2450471.5377357686</v>
      </c>
      <c r="C9" s="12" t="s">
        <v>19</v>
      </c>
      <c r="D9" s="1"/>
      <c r="E9" s="1"/>
    </row>
    <row r="10" spans="1:7" x14ac:dyDescent="0.3">
      <c r="A10" s="11">
        <f>A6</f>
        <v>461265000</v>
      </c>
      <c r="B10" s="2">
        <f t="shared" si="0"/>
        <v>3920754.4603772298</v>
      </c>
      <c r="C10" s="12" t="s">
        <v>10</v>
      </c>
      <c r="D10" s="1"/>
      <c r="E10" s="1"/>
    </row>
    <row r="11" spans="1:7" ht="15" thickBot="1" x14ac:dyDescent="0.35">
      <c r="A11" s="8">
        <f>A10+A7</f>
        <v>518923125</v>
      </c>
      <c r="B11" s="9">
        <f t="shared" si="0"/>
        <v>4410848.7679243842</v>
      </c>
      <c r="C11" s="10" t="s">
        <v>20</v>
      </c>
      <c r="D11" s="1"/>
      <c r="E11" s="1"/>
    </row>
    <row r="12" spans="1:7" ht="15" thickBot="1" x14ac:dyDescent="0.35">
      <c r="A12" s="3"/>
      <c r="B12" s="3"/>
      <c r="C12" s="3"/>
      <c r="D12" s="1"/>
      <c r="E12" s="1"/>
    </row>
    <row r="13" spans="1:7" x14ac:dyDescent="0.3">
      <c r="A13" s="238" t="s">
        <v>8</v>
      </c>
      <c r="B13" s="239"/>
      <c r="C13" s="240"/>
    </row>
    <row r="14" spans="1:7" x14ac:dyDescent="0.3">
      <c r="A14" s="16" t="s">
        <v>4</v>
      </c>
      <c r="B14" s="17" t="s">
        <v>5</v>
      </c>
      <c r="C14" s="18"/>
    </row>
    <row r="15" spans="1:7" x14ac:dyDescent="0.3">
      <c r="A15" s="4">
        <v>1317900000000</v>
      </c>
      <c r="B15" s="2">
        <f>A15/117.647</f>
        <v>11202155601.077801</v>
      </c>
      <c r="C15" s="5" t="s">
        <v>0</v>
      </c>
    </row>
    <row r="16" spans="1:7" x14ac:dyDescent="0.3">
      <c r="A16" s="4">
        <f>A15/10000*7</f>
        <v>922530000</v>
      </c>
      <c r="B16" s="2">
        <f t="shared" ref="B16:B25" si="1">A16/117.647</f>
        <v>7841508.9207544597</v>
      </c>
      <c r="C16" s="5" t="s">
        <v>1</v>
      </c>
    </row>
    <row r="17" spans="1:3" x14ac:dyDescent="0.3">
      <c r="A17" s="4">
        <f>A16/10*2</f>
        <v>184506000</v>
      </c>
      <c r="B17" s="2">
        <f t="shared" si="1"/>
        <v>1568301.7841508919</v>
      </c>
      <c r="C17" s="5" t="s">
        <v>2</v>
      </c>
    </row>
    <row r="18" spans="1:3" x14ac:dyDescent="0.3">
      <c r="A18" s="4">
        <f>A17/18</f>
        <v>10250333.333333334</v>
      </c>
      <c r="B18" s="2">
        <f t="shared" si="1"/>
        <v>87127.876897271781</v>
      </c>
      <c r="C18" s="5" t="s">
        <v>59</v>
      </c>
    </row>
    <row r="19" spans="1:3" x14ac:dyDescent="0.3">
      <c r="A19" s="4">
        <f>A16/10*8</f>
        <v>738024000</v>
      </c>
      <c r="B19" s="2">
        <f t="shared" si="1"/>
        <v>6273207.1366035677</v>
      </c>
      <c r="C19" s="5" t="s">
        <v>11</v>
      </c>
    </row>
    <row r="20" spans="1:3" x14ac:dyDescent="0.3">
      <c r="A20" s="4">
        <f>A19/250</f>
        <v>2952096</v>
      </c>
      <c r="B20" s="2">
        <f t="shared" si="1"/>
        <v>25092.828546414272</v>
      </c>
      <c r="C20" s="5" t="s">
        <v>3</v>
      </c>
    </row>
    <row r="21" spans="1:3" x14ac:dyDescent="0.3">
      <c r="A21" s="4">
        <f>A20*8</f>
        <v>23616768</v>
      </c>
      <c r="B21" s="2">
        <f t="shared" si="1"/>
        <v>200742.62837131417</v>
      </c>
      <c r="C21" s="5" t="s">
        <v>16</v>
      </c>
    </row>
    <row r="22" spans="1:3" x14ac:dyDescent="0.3">
      <c r="A22" s="4">
        <f>A21+A18</f>
        <v>33867101.333333336</v>
      </c>
      <c r="B22" s="2">
        <f t="shared" si="1"/>
        <v>287870.50526858598</v>
      </c>
      <c r="C22" s="5" t="s">
        <v>18</v>
      </c>
    </row>
    <row r="23" spans="1:3" x14ac:dyDescent="0.3">
      <c r="A23" s="4">
        <f>A20*30+A18</f>
        <v>98813213.333333328</v>
      </c>
      <c r="B23" s="2">
        <f t="shared" si="1"/>
        <v>839912.73328969989</v>
      </c>
      <c r="C23" s="5" t="s">
        <v>33</v>
      </c>
    </row>
    <row r="24" spans="1:3" x14ac:dyDescent="0.3">
      <c r="A24" s="4">
        <f>A18+A20*75</f>
        <v>231657533.33333334</v>
      </c>
      <c r="B24" s="2">
        <f t="shared" si="1"/>
        <v>1969090.0178783422</v>
      </c>
      <c r="C24" s="5" t="s">
        <v>50</v>
      </c>
    </row>
    <row r="25" spans="1:3" ht="15" thickBot="1" x14ac:dyDescent="0.35">
      <c r="A25" s="8">
        <f>A20*125+A18</f>
        <v>379262333.33333331</v>
      </c>
      <c r="B25" s="9">
        <f t="shared" si="1"/>
        <v>3223731.4451990556</v>
      </c>
      <c r="C25" s="10" t="s">
        <v>17</v>
      </c>
    </row>
    <row r="26" spans="1:3" ht="15" thickBot="1" x14ac:dyDescent="0.35">
      <c r="A26" s="3"/>
      <c r="B26" s="3"/>
      <c r="C26" s="43"/>
    </row>
    <row r="27" spans="1:3" x14ac:dyDescent="0.3">
      <c r="A27" s="241" t="s">
        <v>13</v>
      </c>
      <c r="B27" s="242"/>
      <c r="C27" s="243"/>
    </row>
    <row r="28" spans="1:3" x14ac:dyDescent="0.3">
      <c r="A28" s="19" t="s">
        <v>4</v>
      </c>
      <c r="B28" s="20" t="s">
        <v>5</v>
      </c>
      <c r="C28" s="15" t="s">
        <v>6</v>
      </c>
    </row>
    <row r="29" spans="1:3" x14ac:dyDescent="0.3">
      <c r="A29" s="14"/>
      <c r="B29" s="13"/>
      <c r="C29" s="15"/>
    </row>
    <row r="30" spans="1:3" x14ac:dyDescent="0.3">
      <c r="A30" s="42">
        <v>58627823</v>
      </c>
      <c r="B30" s="2">
        <f>A30/117.647</f>
        <v>498336.74466837232</v>
      </c>
      <c r="C30" s="5" t="s">
        <v>22</v>
      </c>
    </row>
    <row r="31" spans="1:3" x14ac:dyDescent="0.3">
      <c r="A31" s="4">
        <f>A30/10*2</f>
        <v>11725564.6</v>
      </c>
      <c r="B31" s="2">
        <f t="shared" ref="B31:B38" si="2">A31/117.647</f>
        <v>99667.348933674453</v>
      </c>
      <c r="C31" s="5" t="s">
        <v>2</v>
      </c>
    </row>
    <row r="32" spans="1:3" x14ac:dyDescent="0.3">
      <c r="A32" s="4">
        <f>A31/12</f>
        <v>977130.3833333333</v>
      </c>
      <c r="B32" s="2">
        <f t="shared" si="2"/>
        <v>8305.6124111395384</v>
      </c>
      <c r="C32" s="5" t="s">
        <v>61</v>
      </c>
    </row>
    <row r="33" spans="1:3" x14ac:dyDescent="0.3">
      <c r="A33" s="4">
        <f>A30/10*8</f>
        <v>46902258.399999999</v>
      </c>
      <c r="B33" s="2">
        <f t="shared" si="2"/>
        <v>398669.39573469781</v>
      </c>
      <c r="C33" s="5" t="s">
        <v>11</v>
      </c>
    </row>
    <row r="34" spans="1:3" x14ac:dyDescent="0.3">
      <c r="A34" s="4">
        <f>A33/110</f>
        <v>426384.16727272724</v>
      </c>
      <c r="B34" s="2">
        <f t="shared" si="2"/>
        <v>3624.2672339517985</v>
      </c>
      <c r="C34" s="5" t="s">
        <v>15</v>
      </c>
    </row>
    <row r="35" spans="1:3" x14ac:dyDescent="0.3">
      <c r="A35" s="4">
        <f>A34*3</f>
        <v>1279152.5018181817</v>
      </c>
      <c r="B35" s="2">
        <f t="shared" si="2"/>
        <v>10872.801701855395</v>
      </c>
      <c r="C35" s="5" t="s">
        <v>14</v>
      </c>
    </row>
    <row r="36" spans="1:3" x14ac:dyDescent="0.3">
      <c r="A36" s="4">
        <f>A35+A32</f>
        <v>2256282.8851515148</v>
      </c>
      <c r="B36" s="2">
        <f t="shared" si="2"/>
        <v>19178.414112994931</v>
      </c>
      <c r="C36" s="5" t="s">
        <v>21</v>
      </c>
    </row>
    <row r="37" spans="1:3" x14ac:dyDescent="0.3">
      <c r="A37" s="4">
        <f>A34*55</f>
        <v>23451129.199999999</v>
      </c>
      <c r="B37" s="2">
        <f t="shared" si="2"/>
        <v>199334.69786734891</v>
      </c>
      <c r="C37" s="6" t="s">
        <v>12</v>
      </c>
    </row>
    <row r="38" spans="1:3" ht="15" thickBot="1" x14ac:dyDescent="0.35">
      <c r="A38" s="8">
        <f>A37+A32</f>
        <v>24428259.583333332</v>
      </c>
      <c r="B38" s="9">
        <f t="shared" si="2"/>
        <v>207640.31027848844</v>
      </c>
      <c r="C38" s="10" t="s">
        <v>17</v>
      </c>
    </row>
    <row r="39" spans="1:3" ht="29.25" customHeight="1" thickBot="1" x14ac:dyDescent="0.35">
      <c r="A39" s="58"/>
      <c r="B39" s="59"/>
      <c r="C39" s="7"/>
    </row>
    <row r="40" spans="1:3" ht="30" customHeight="1" x14ac:dyDescent="0.3">
      <c r="A40" s="226" t="s">
        <v>35</v>
      </c>
      <c r="B40" s="227"/>
      <c r="C40" s="228"/>
    </row>
    <row r="41" spans="1:3" ht="26.4" customHeight="1" x14ac:dyDescent="0.3">
      <c r="A41" s="229" t="s">
        <v>31</v>
      </c>
      <c r="B41" s="230"/>
      <c r="C41" s="231"/>
    </row>
    <row r="42" spans="1:3" ht="17.25" customHeight="1" x14ac:dyDescent="0.3">
      <c r="A42" s="232" t="s">
        <v>32</v>
      </c>
      <c r="B42" s="233"/>
      <c r="C42" s="234"/>
    </row>
    <row r="43" spans="1:3" ht="15" customHeight="1" x14ac:dyDescent="0.3">
      <c r="A43" s="232" t="s">
        <v>36</v>
      </c>
      <c r="B43" s="233"/>
      <c r="C43" s="234"/>
    </row>
    <row r="44" spans="1:3" ht="15" thickBot="1" x14ac:dyDescent="0.35">
      <c r="A44" s="235"/>
      <c r="B44" s="236"/>
      <c r="C44" s="237"/>
    </row>
  </sheetData>
  <mergeCells count="9">
    <mergeCell ref="A1:C1"/>
    <mergeCell ref="A44:C44"/>
    <mergeCell ref="A41:C41"/>
    <mergeCell ref="A2:C2"/>
    <mergeCell ref="A13:C13"/>
    <mergeCell ref="A42:C42"/>
    <mergeCell ref="A40:C40"/>
    <mergeCell ref="A43:C43"/>
    <mergeCell ref="A27:C27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2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C14D-18BF-4E5D-8C26-E2CE9CD4D0CE}">
  <dimension ref="A1:J106"/>
  <sheetViews>
    <sheetView workbookViewId="0">
      <selection activeCell="J1" sqref="J1"/>
    </sheetView>
  </sheetViews>
  <sheetFormatPr defaultRowHeight="14.4" x14ac:dyDescent="0.3"/>
  <cols>
    <col min="1" max="2" width="15.109375" customWidth="1"/>
    <col min="3" max="3" width="16.44140625" customWidth="1"/>
    <col min="4" max="4" width="13.6640625" customWidth="1"/>
    <col min="5" max="6" width="14.33203125" customWidth="1"/>
    <col min="7" max="7" width="11.44140625" customWidth="1"/>
    <col min="8" max="8" width="13.5546875" customWidth="1"/>
    <col min="9" max="9" width="11.6640625" customWidth="1"/>
    <col min="10" max="10" width="80.44140625" customWidth="1"/>
  </cols>
  <sheetData>
    <row r="1" spans="1:10" ht="28.8" x14ac:dyDescent="0.3">
      <c r="A1" s="67" t="s">
        <v>62</v>
      </c>
      <c r="B1" s="67" t="s">
        <v>81</v>
      </c>
      <c r="C1" s="67" t="s">
        <v>70</v>
      </c>
      <c r="D1" s="67" t="s">
        <v>71</v>
      </c>
      <c r="E1" s="67" t="s">
        <v>73</v>
      </c>
      <c r="F1" s="67" t="s">
        <v>74</v>
      </c>
      <c r="G1" s="67" t="s">
        <v>72</v>
      </c>
      <c r="H1" s="67" t="s">
        <v>75</v>
      </c>
      <c r="I1" s="68" t="s">
        <v>76</v>
      </c>
      <c r="J1" s="68" t="s">
        <v>78</v>
      </c>
    </row>
    <row r="2" spans="1:10" ht="15" thickBot="1" x14ac:dyDescent="0.35">
      <c r="A2" s="67" t="s">
        <v>63</v>
      </c>
      <c r="B2" s="67"/>
      <c r="C2" s="67">
        <v>46126500</v>
      </c>
      <c r="D2" s="67">
        <f>553518000+46126500</f>
        <v>599644500</v>
      </c>
      <c r="E2" s="67">
        <f>C2+D2</f>
        <v>645771000</v>
      </c>
      <c r="F2" s="67">
        <f>E2/117.6594</f>
        <v>5488477.7586831143</v>
      </c>
      <c r="G2" s="67">
        <v>107000000</v>
      </c>
      <c r="H2" s="67">
        <f>E2+G2</f>
        <v>752771000</v>
      </c>
      <c r="I2" s="69">
        <f>H2/117.6594</f>
        <v>6397882.3621402113</v>
      </c>
      <c r="J2" s="80" t="s">
        <v>104</v>
      </c>
    </row>
    <row r="3" spans="1:10" ht="15" thickBot="1" x14ac:dyDescent="0.35">
      <c r="A3" s="67" t="s">
        <v>64</v>
      </c>
      <c r="B3" s="67"/>
      <c r="C3" s="67">
        <v>46126500</v>
      </c>
      <c r="D3" s="67">
        <v>0</v>
      </c>
      <c r="E3" s="67">
        <f t="shared" ref="E3:E9" si="0">C3+D3</f>
        <v>46126500</v>
      </c>
      <c r="F3" s="82">
        <f t="shared" ref="F3:F9" si="1">E3/117.6594</f>
        <v>392034.12562022242</v>
      </c>
      <c r="G3" s="72">
        <v>3311500</v>
      </c>
      <c r="H3" s="67">
        <f t="shared" ref="H3:H9" si="2">E3+G3</f>
        <v>49438000</v>
      </c>
      <c r="I3" s="81">
        <f t="shared" ref="I3:I9" si="3">H3/117.6594</f>
        <v>420178.92323095305</v>
      </c>
      <c r="J3" s="80" t="s">
        <v>104</v>
      </c>
    </row>
    <row r="4" spans="1:10" ht="15" thickBot="1" x14ac:dyDescent="0.35">
      <c r="A4" s="67" t="s">
        <v>84</v>
      </c>
      <c r="B4" s="67"/>
      <c r="C4" s="67">
        <v>46126500</v>
      </c>
      <c r="D4" s="67">
        <v>0</v>
      </c>
      <c r="E4" s="67">
        <f t="shared" si="0"/>
        <v>46126500</v>
      </c>
      <c r="F4" s="82">
        <f t="shared" si="1"/>
        <v>392034.12562022242</v>
      </c>
      <c r="G4" s="73">
        <v>917200</v>
      </c>
      <c r="H4" s="67">
        <f t="shared" si="2"/>
        <v>47043700</v>
      </c>
      <c r="I4" s="81">
        <f t="shared" si="3"/>
        <v>399829.5078846229</v>
      </c>
      <c r="J4" s="80" t="s">
        <v>104</v>
      </c>
    </row>
    <row r="5" spans="1:10" x14ac:dyDescent="0.3">
      <c r="A5" s="67" t="s">
        <v>66</v>
      </c>
      <c r="B5" s="67"/>
      <c r="C5" s="67">
        <v>46126500</v>
      </c>
      <c r="D5" s="67">
        <v>0</v>
      </c>
      <c r="E5" s="67">
        <f t="shared" si="0"/>
        <v>46126500</v>
      </c>
      <c r="F5" s="82">
        <f t="shared" si="1"/>
        <v>392034.12562022242</v>
      </c>
      <c r="G5" s="74">
        <v>116000</v>
      </c>
      <c r="H5" s="67">
        <f t="shared" si="2"/>
        <v>46242500</v>
      </c>
      <c r="I5" s="81">
        <f t="shared" si="3"/>
        <v>393020.02219967125</v>
      </c>
      <c r="J5" s="80" t="s">
        <v>104</v>
      </c>
    </row>
    <row r="6" spans="1:10" ht="15" thickBot="1" x14ac:dyDescent="0.35">
      <c r="A6" s="67" t="s">
        <v>67</v>
      </c>
      <c r="B6" s="67"/>
      <c r="C6" s="67">
        <v>46126500</v>
      </c>
      <c r="D6" s="67">
        <v>0</v>
      </c>
      <c r="E6" s="67">
        <f t="shared" si="0"/>
        <v>46126500</v>
      </c>
      <c r="F6" s="82">
        <f t="shared" si="1"/>
        <v>392034.12562022242</v>
      </c>
      <c r="G6" s="75">
        <v>0</v>
      </c>
      <c r="H6" s="67">
        <f t="shared" si="2"/>
        <v>46126500</v>
      </c>
      <c r="I6" s="81">
        <f t="shared" si="3"/>
        <v>392034.12562022242</v>
      </c>
      <c r="J6" s="80" t="s">
        <v>99</v>
      </c>
    </row>
    <row r="7" spans="1:10" x14ac:dyDescent="0.3">
      <c r="A7" s="67" t="s">
        <v>65</v>
      </c>
      <c r="B7" s="67"/>
      <c r="C7" s="67">
        <v>46126500</v>
      </c>
      <c r="D7" s="67">
        <v>0</v>
      </c>
      <c r="E7" s="67">
        <f t="shared" si="0"/>
        <v>46126500</v>
      </c>
      <c r="F7" s="82">
        <f t="shared" si="1"/>
        <v>392034.12562022242</v>
      </c>
      <c r="G7" s="74">
        <v>544700</v>
      </c>
      <c r="H7" s="67">
        <f t="shared" si="2"/>
        <v>46671200</v>
      </c>
      <c r="I7" s="81">
        <f t="shared" si="3"/>
        <v>396663.58998941007</v>
      </c>
      <c r="J7" s="80" t="s">
        <v>104</v>
      </c>
    </row>
    <row r="8" spans="1:10" x14ac:dyDescent="0.3">
      <c r="A8" s="67" t="s">
        <v>68</v>
      </c>
      <c r="B8" s="67"/>
      <c r="C8" s="67">
        <v>46126500</v>
      </c>
      <c r="D8" s="67">
        <v>0</v>
      </c>
      <c r="E8" s="67">
        <f t="shared" si="0"/>
        <v>46126500</v>
      </c>
      <c r="F8" s="82">
        <f t="shared" si="1"/>
        <v>392034.12562022242</v>
      </c>
      <c r="G8" s="75">
        <v>0</v>
      </c>
      <c r="H8" s="67">
        <f t="shared" si="2"/>
        <v>46126500</v>
      </c>
      <c r="I8" s="81">
        <f t="shared" si="3"/>
        <v>392034.12562022242</v>
      </c>
      <c r="J8" s="80" t="s">
        <v>99</v>
      </c>
    </row>
    <row r="9" spans="1:10" x14ac:dyDescent="0.3">
      <c r="A9" s="67" t="s">
        <v>69</v>
      </c>
      <c r="B9" s="67"/>
      <c r="C9" s="67">
        <v>0</v>
      </c>
      <c r="D9" s="67">
        <v>0</v>
      </c>
      <c r="E9" s="67">
        <f t="shared" si="0"/>
        <v>0</v>
      </c>
      <c r="F9" s="82">
        <f t="shared" si="1"/>
        <v>0</v>
      </c>
      <c r="G9" s="75">
        <v>0</v>
      </c>
      <c r="H9" s="67">
        <f t="shared" si="2"/>
        <v>0</v>
      </c>
      <c r="I9" s="81">
        <f t="shared" si="3"/>
        <v>0</v>
      </c>
      <c r="J9" s="80" t="s">
        <v>105</v>
      </c>
    </row>
    <row r="10" spans="1:10" x14ac:dyDescent="0.3">
      <c r="A10" s="76" t="s">
        <v>77</v>
      </c>
      <c r="B10" s="76"/>
      <c r="C10" s="77">
        <f>SUM(C2:C9)</f>
        <v>322885500</v>
      </c>
      <c r="D10" s="77">
        <f t="shared" ref="D10:I10" si="4">SUM(D2:D9)</f>
        <v>599644500</v>
      </c>
      <c r="E10" s="77">
        <f t="shared" si="4"/>
        <v>922530000</v>
      </c>
      <c r="F10" s="77">
        <f t="shared" si="4"/>
        <v>7840682.5124044502</v>
      </c>
      <c r="G10" s="77">
        <f t="shared" si="4"/>
        <v>111889400</v>
      </c>
      <c r="H10" s="77">
        <f t="shared" si="4"/>
        <v>1034419400</v>
      </c>
      <c r="I10" s="77">
        <f t="shared" si="4"/>
        <v>8791642.6566853113</v>
      </c>
      <c r="J10" s="80"/>
    </row>
    <row r="12" spans="1:10" ht="28.8" x14ac:dyDescent="0.3">
      <c r="A12" s="70" t="s">
        <v>79</v>
      </c>
      <c r="B12" s="67" t="s">
        <v>82</v>
      </c>
      <c r="C12" s="67" t="s">
        <v>70</v>
      </c>
      <c r="D12" s="67" t="s">
        <v>71</v>
      </c>
      <c r="E12" s="67" t="s">
        <v>73</v>
      </c>
      <c r="F12" s="67" t="s">
        <v>74</v>
      </c>
      <c r="G12" s="67" t="s">
        <v>72</v>
      </c>
      <c r="H12" s="67" t="s">
        <v>75</v>
      </c>
      <c r="I12" s="70" t="s">
        <v>76</v>
      </c>
      <c r="J12" s="70" t="s">
        <v>78</v>
      </c>
    </row>
    <row r="13" spans="1:10" x14ac:dyDescent="0.3">
      <c r="A13" s="70" t="s">
        <v>80</v>
      </c>
      <c r="B13" s="67">
        <v>120</v>
      </c>
      <c r="C13" s="67">
        <v>20500667</v>
      </c>
      <c r="D13" s="67">
        <f>(922530000-(18*20500667)+20500667+20500667)/250*B13</f>
        <v>285369277.44</v>
      </c>
      <c r="E13" s="67">
        <f>C13+D13</f>
        <v>305869944.44</v>
      </c>
      <c r="F13" s="67">
        <f>E13/117.6594</f>
        <v>2599621.8274103045</v>
      </c>
      <c r="G13" s="78">
        <v>67000000</v>
      </c>
      <c r="H13" s="67">
        <f>G13+E13</f>
        <v>372869944.44</v>
      </c>
      <c r="I13" s="67">
        <f>H13/117.6594</f>
        <v>3169062.0931264311</v>
      </c>
      <c r="J13" s="80" t="s">
        <v>104</v>
      </c>
    </row>
    <row r="14" spans="1:10" x14ac:dyDescent="0.3">
      <c r="A14" s="70" t="s">
        <v>64</v>
      </c>
      <c r="B14" s="67">
        <v>37</v>
      </c>
      <c r="C14" s="67">
        <v>20500667</v>
      </c>
      <c r="D14" s="82">
        <f t="shared" ref="D14:D31" si="5">(922530000-(18*20500667)+20500667+20500667)/250*B14</f>
        <v>87988860.544</v>
      </c>
      <c r="E14" s="67">
        <f t="shared" ref="E14:E31" si="6">C14+D14</f>
        <v>108489527.544</v>
      </c>
      <c r="F14" s="82">
        <f t="shared" ref="F14:F31" si="7">E14/117.6594</f>
        <v>922064.25958316971</v>
      </c>
      <c r="G14" s="83">
        <v>811000</v>
      </c>
      <c r="H14" s="67">
        <f t="shared" ref="H14:H31" si="8">G14+E14</f>
        <v>109300527.544</v>
      </c>
      <c r="I14" s="82">
        <f t="shared" ref="I14:I31" si="9">H14/117.6594</f>
        <v>928957.03653086792</v>
      </c>
      <c r="J14" s="80" t="s">
        <v>104</v>
      </c>
    </row>
    <row r="15" spans="1:10" x14ac:dyDescent="0.3">
      <c r="A15" s="70" t="s">
        <v>83</v>
      </c>
      <c r="B15" s="67">
        <v>32</v>
      </c>
      <c r="C15" s="67">
        <v>20500667</v>
      </c>
      <c r="D15" s="82">
        <f t="shared" si="5"/>
        <v>76098473.983999997</v>
      </c>
      <c r="E15" s="67">
        <f t="shared" si="6"/>
        <v>96599140.983999997</v>
      </c>
      <c r="F15" s="82">
        <f t="shared" si="7"/>
        <v>821006.57477430615</v>
      </c>
      <c r="G15" s="84">
        <v>119142800</v>
      </c>
      <c r="H15" s="67">
        <f t="shared" si="8"/>
        <v>215741940.984</v>
      </c>
      <c r="I15" s="82">
        <f t="shared" si="9"/>
        <v>1833614.15223943</v>
      </c>
      <c r="J15" s="80" t="s">
        <v>104</v>
      </c>
    </row>
    <row r="16" spans="1:10" x14ac:dyDescent="0.3">
      <c r="A16" s="70" t="s">
        <v>84</v>
      </c>
      <c r="B16" s="67">
        <v>15</v>
      </c>
      <c r="C16" s="67">
        <v>20500667</v>
      </c>
      <c r="D16" s="82">
        <f t="shared" si="5"/>
        <v>35671159.68</v>
      </c>
      <c r="E16" s="67">
        <f t="shared" si="6"/>
        <v>56171826.68</v>
      </c>
      <c r="F16" s="82">
        <f t="shared" si="7"/>
        <v>477410.44642417011</v>
      </c>
      <c r="G16" s="83">
        <v>6319200</v>
      </c>
      <c r="H16" s="67">
        <f t="shared" si="8"/>
        <v>62491026.68</v>
      </c>
      <c r="I16" s="82">
        <f t="shared" si="9"/>
        <v>531118.01250048866</v>
      </c>
      <c r="J16" s="80" t="s">
        <v>104</v>
      </c>
    </row>
    <row r="17" spans="1:10" x14ac:dyDescent="0.3">
      <c r="A17" s="70" t="s">
        <v>65</v>
      </c>
      <c r="B17" s="67">
        <v>12</v>
      </c>
      <c r="C17" s="67">
        <v>20500667</v>
      </c>
      <c r="D17" s="82">
        <f t="shared" si="5"/>
        <v>28536927.743999999</v>
      </c>
      <c r="E17" s="67">
        <f t="shared" si="6"/>
        <v>49037594.744000003</v>
      </c>
      <c r="F17" s="82">
        <f t="shared" si="7"/>
        <v>416775.83553885197</v>
      </c>
      <c r="G17" s="83">
        <v>2219503</v>
      </c>
      <c r="H17" s="67">
        <f t="shared" si="8"/>
        <v>51257097.744000003</v>
      </c>
      <c r="I17" s="82">
        <f t="shared" si="9"/>
        <v>435639.63222657942</v>
      </c>
      <c r="J17" s="80" t="s">
        <v>104</v>
      </c>
    </row>
    <row r="18" spans="1:10" x14ac:dyDescent="0.3">
      <c r="A18" s="70" t="s">
        <v>66</v>
      </c>
      <c r="B18" s="67">
        <v>10</v>
      </c>
      <c r="C18" s="67">
        <v>20500667</v>
      </c>
      <c r="D18" s="82">
        <f t="shared" si="5"/>
        <v>23780773.119999997</v>
      </c>
      <c r="E18" s="67">
        <f t="shared" si="6"/>
        <v>44281440.119999997</v>
      </c>
      <c r="F18" s="82">
        <f t="shared" si="7"/>
        <v>376352.76161530649</v>
      </c>
      <c r="G18" s="84">
        <v>1324800</v>
      </c>
      <c r="H18" s="67">
        <f t="shared" si="8"/>
        <v>45606240.119999997</v>
      </c>
      <c r="I18" s="82">
        <f t="shared" si="9"/>
        <v>387612.38048128749</v>
      </c>
      <c r="J18" s="80" t="s">
        <v>104</v>
      </c>
    </row>
    <row r="19" spans="1:10" x14ac:dyDescent="0.3">
      <c r="A19" s="70" t="s">
        <v>67</v>
      </c>
      <c r="B19" s="67">
        <v>10</v>
      </c>
      <c r="C19" s="67">
        <v>20500667</v>
      </c>
      <c r="D19" s="82">
        <f t="shared" si="5"/>
        <v>23780773.119999997</v>
      </c>
      <c r="E19" s="67">
        <f t="shared" si="6"/>
        <v>44281440.119999997</v>
      </c>
      <c r="F19" s="82">
        <f t="shared" si="7"/>
        <v>376352.76161530649</v>
      </c>
      <c r="G19" s="83">
        <v>0</v>
      </c>
      <c r="H19" s="67">
        <f t="shared" si="8"/>
        <v>44281440.119999997</v>
      </c>
      <c r="I19" s="82">
        <f t="shared" si="9"/>
        <v>376352.76161530649</v>
      </c>
      <c r="J19" s="67" t="s">
        <v>98</v>
      </c>
    </row>
    <row r="20" spans="1:10" x14ac:dyDescent="0.3">
      <c r="A20" s="70" t="s">
        <v>85</v>
      </c>
      <c r="B20" s="67">
        <v>6</v>
      </c>
      <c r="C20" s="67">
        <v>20500667</v>
      </c>
      <c r="D20" s="82">
        <f t="shared" si="5"/>
        <v>14268463.872</v>
      </c>
      <c r="E20" s="67">
        <f t="shared" si="6"/>
        <v>34769130.872000001</v>
      </c>
      <c r="F20" s="82">
        <f t="shared" si="7"/>
        <v>295506.6137682157</v>
      </c>
      <c r="G20" s="85">
        <v>14500000</v>
      </c>
      <c r="H20" s="67">
        <f t="shared" si="8"/>
        <v>49269130.872000001</v>
      </c>
      <c r="I20" s="82">
        <f t="shared" si="9"/>
        <v>418743.68619931769</v>
      </c>
      <c r="J20" s="80" t="s">
        <v>104</v>
      </c>
    </row>
    <row r="21" spans="1:10" ht="15" thickBot="1" x14ac:dyDescent="0.35">
      <c r="A21" s="70" t="s">
        <v>95</v>
      </c>
      <c r="B21" s="67">
        <v>3</v>
      </c>
      <c r="C21" s="67">
        <v>20500667</v>
      </c>
      <c r="D21" s="82">
        <f t="shared" si="5"/>
        <v>7134231.9359999998</v>
      </c>
      <c r="E21" s="67">
        <f t="shared" si="6"/>
        <v>27634898.936000001</v>
      </c>
      <c r="F21" s="82">
        <f t="shared" si="7"/>
        <v>234872.00288289759</v>
      </c>
      <c r="G21" s="83">
        <v>0</v>
      </c>
      <c r="H21" s="67">
        <f t="shared" si="8"/>
        <v>27634898.936000001</v>
      </c>
      <c r="I21" s="82">
        <f t="shared" si="9"/>
        <v>234872.00288289759</v>
      </c>
      <c r="J21" s="80" t="s">
        <v>107</v>
      </c>
    </row>
    <row r="22" spans="1:10" ht="15" thickBot="1" x14ac:dyDescent="0.35">
      <c r="A22" s="70" t="s">
        <v>86</v>
      </c>
      <c r="B22" s="67">
        <v>2</v>
      </c>
      <c r="C22" s="67">
        <v>20500667</v>
      </c>
      <c r="D22" s="82">
        <f t="shared" si="5"/>
        <v>4756154.6239999998</v>
      </c>
      <c r="E22" s="67">
        <f t="shared" si="6"/>
        <v>25256821.623999998</v>
      </c>
      <c r="F22" s="82">
        <f t="shared" si="7"/>
        <v>214660.46592112485</v>
      </c>
      <c r="G22" s="86">
        <v>3635000</v>
      </c>
      <c r="H22" s="67">
        <f t="shared" si="8"/>
        <v>28891821.623999998</v>
      </c>
      <c r="I22" s="82">
        <f t="shared" si="9"/>
        <v>245554.72511333559</v>
      </c>
      <c r="J22" s="80" t="s">
        <v>104</v>
      </c>
    </row>
    <row r="23" spans="1:10" x14ac:dyDescent="0.3">
      <c r="A23" s="70" t="s">
        <v>87</v>
      </c>
      <c r="B23" s="67">
        <v>2</v>
      </c>
      <c r="C23" s="67">
        <v>20500667</v>
      </c>
      <c r="D23" s="82">
        <f t="shared" si="5"/>
        <v>4756154.6239999998</v>
      </c>
      <c r="E23" s="67">
        <f t="shared" si="6"/>
        <v>25256821.623999998</v>
      </c>
      <c r="F23" s="82">
        <f t="shared" si="7"/>
        <v>214660.46592112485</v>
      </c>
      <c r="G23" s="84">
        <v>81000</v>
      </c>
      <c r="H23" s="67">
        <f t="shared" si="8"/>
        <v>25337821.623999998</v>
      </c>
      <c r="I23" s="82">
        <f t="shared" si="9"/>
        <v>215348.89370505032</v>
      </c>
      <c r="J23" s="80" t="s">
        <v>104</v>
      </c>
    </row>
    <row r="24" spans="1:10" x14ac:dyDescent="0.3">
      <c r="A24" s="70" t="s">
        <v>88</v>
      </c>
      <c r="B24" s="67">
        <v>1</v>
      </c>
      <c r="C24" s="67">
        <v>20500667</v>
      </c>
      <c r="D24" s="82">
        <f t="shared" si="5"/>
        <v>2378077.3119999999</v>
      </c>
      <c r="E24" s="67">
        <f t="shared" si="6"/>
        <v>22878744.311999999</v>
      </c>
      <c r="F24" s="82">
        <f t="shared" si="7"/>
        <v>194448.92895935214</v>
      </c>
      <c r="G24" s="83">
        <v>4410000</v>
      </c>
      <c r="H24" s="67">
        <f t="shared" si="8"/>
        <v>27288744.311999999</v>
      </c>
      <c r="I24" s="82">
        <f t="shared" si="9"/>
        <v>231929.99719529419</v>
      </c>
      <c r="J24" s="80" t="s">
        <v>104</v>
      </c>
    </row>
    <row r="25" spans="1:10" x14ac:dyDescent="0.3">
      <c r="A25" s="70" t="s">
        <v>68</v>
      </c>
      <c r="B25" s="67">
        <v>0</v>
      </c>
      <c r="C25" s="67">
        <v>20500667</v>
      </c>
      <c r="D25" s="82">
        <f t="shared" si="5"/>
        <v>0</v>
      </c>
      <c r="E25" s="67">
        <f t="shared" si="6"/>
        <v>20500667</v>
      </c>
      <c r="F25" s="82">
        <f t="shared" si="7"/>
        <v>174237.39199757946</v>
      </c>
      <c r="G25" s="83">
        <v>0</v>
      </c>
      <c r="H25" s="67">
        <f t="shared" si="8"/>
        <v>20500667</v>
      </c>
      <c r="I25" s="82">
        <f t="shared" si="9"/>
        <v>174237.39199757946</v>
      </c>
      <c r="J25" s="67" t="s">
        <v>98</v>
      </c>
    </row>
    <row r="26" spans="1:10" x14ac:dyDescent="0.3">
      <c r="A26" s="70" t="s">
        <v>89</v>
      </c>
      <c r="B26" s="67">
        <v>0</v>
      </c>
      <c r="C26" s="67">
        <v>20500667</v>
      </c>
      <c r="D26" s="82">
        <f t="shared" si="5"/>
        <v>0</v>
      </c>
      <c r="E26" s="67">
        <f t="shared" si="6"/>
        <v>20500667</v>
      </c>
      <c r="F26" s="82">
        <f t="shared" si="7"/>
        <v>174237.39199757946</v>
      </c>
      <c r="G26" s="85">
        <v>28510000</v>
      </c>
      <c r="H26" s="67">
        <f t="shared" si="8"/>
        <v>49010667</v>
      </c>
      <c r="I26" s="82">
        <f t="shared" si="9"/>
        <v>416546.97372245649</v>
      </c>
      <c r="J26" s="80" t="s">
        <v>104</v>
      </c>
    </row>
    <row r="27" spans="1:10" x14ac:dyDescent="0.3">
      <c r="A27" s="70" t="s">
        <v>90</v>
      </c>
      <c r="B27" s="67">
        <v>0</v>
      </c>
      <c r="C27" s="67">
        <v>20500667</v>
      </c>
      <c r="D27" s="82">
        <f t="shared" si="5"/>
        <v>0</v>
      </c>
      <c r="E27" s="67">
        <f t="shared" si="6"/>
        <v>20500667</v>
      </c>
      <c r="F27" s="82">
        <f t="shared" si="7"/>
        <v>174237.39199757946</v>
      </c>
      <c r="G27" s="84">
        <v>3089500</v>
      </c>
      <c r="H27" s="67">
        <f t="shared" si="8"/>
        <v>23590167</v>
      </c>
      <c r="I27" s="82">
        <f t="shared" si="9"/>
        <v>200495.38753384768</v>
      </c>
      <c r="J27" s="80" t="s">
        <v>104</v>
      </c>
    </row>
    <row r="28" spans="1:10" x14ac:dyDescent="0.3">
      <c r="A28" s="70" t="s">
        <v>91</v>
      </c>
      <c r="B28" s="67">
        <v>0</v>
      </c>
      <c r="C28" s="67">
        <v>0</v>
      </c>
      <c r="D28" s="82">
        <f t="shared" si="5"/>
        <v>0</v>
      </c>
      <c r="E28" s="67">
        <f t="shared" si="6"/>
        <v>0</v>
      </c>
      <c r="F28" s="82">
        <f t="shared" si="7"/>
        <v>0</v>
      </c>
      <c r="G28" s="71">
        <v>0</v>
      </c>
      <c r="H28" s="67">
        <f t="shared" si="8"/>
        <v>0</v>
      </c>
      <c r="I28" s="82">
        <f t="shared" si="9"/>
        <v>0</v>
      </c>
      <c r="J28" s="67" t="s">
        <v>96</v>
      </c>
    </row>
    <row r="29" spans="1:10" ht="18" customHeight="1" x14ac:dyDescent="0.3">
      <c r="A29" s="70" t="s">
        <v>92</v>
      </c>
      <c r="B29" s="67">
        <v>0</v>
      </c>
      <c r="C29" s="67">
        <v>0</v>
      </c>
      <c r="D29" s="82">
        <f t="shared" si="5"/>
        <v>0</v>
      </c>
      <c r="E29" s="67">
        <f t="shared" si="6"/>
        <v>0</v>
      </c>
      <c r="F29" s="82">
        <f t="shared" si="7"/>
        <v>0</v>
      </c>
      <c r="G29" s="67">
        <v>0</v>
      </c>
      <c r="H29" s="67">
        <f t="shared" si="8"/>
        <v>0</v>
      </c>
      <c r="I29" s="82">
        <f t="shared" si="9"/>
        <v>0</v>
      </c>
      <c r="J29" s="67" t="s">
        <v>106</v>
      </c>
    </row>
    <row r="30" spans="1:10" ht="19.5" customHeight="1" x14ac:dyDescent="0.3">
      <c r="A30" s="70" t="s">
        <v>93</v>
      </c>
      <c r="B30" s="67">
        <v>0</v>
      </c>
      <c r="C30" s="67">
        <v>0</v>
      </c>
      <c r="D30" s="82">
        <f t="shared" si="5"/>
        <v>0</v>
      </c>
      <c r="E30" s="67">
        <f t="shared" si="6"/>
        <v>0</v>
      </c>
      <c r="F30" s="82">
        <f t="shared" si="7"/>
        <v>0</v>
      </c>
      <c r="G30" s="67">
        <v>0</v>
      </c>
      <c r="H30" s="67">
        <f t="shared" si="8"/>
        <v>0</v>
      </c>
      <c r="I30" s="82">
        <f t="shared" si="9"/>
        <v>0</v>
      </c>
      <c r="J30" s="82" t="s">
        <v>106</v>
      </c>
    </row>
    <row r="31" spans="1:10" x14ac:dyDescent="0.3">
      <c r="A31" s="70" t="s">
        <v>94</v>
      </c>
      <c r="B31" s="67">
        <v>0</v>
      </c>
      <c r="C31" s="67">
        <v>20500667</v>
      </c>
      <c r="D31" s="82">
        <f t="shared" si="5"/>
        <v>0</v>
      </c>
      <c r="E31" s="67">
        <f t="shared" si="6"/>
        <v>20500667</v>
      </c>
      <c r="F31" s="82">
        <f t="shared" si="7"/>
        <v>174237.39199757946</v>
      </c>
      <c r="G31" s="67">
        <v>0</v>
      </c>
      <c r="H31" s="67">
        <f t="shared" si="8"/>
        <v>20500667</v>
      </c>
      <c r="I31" s="82">
        <f t="shared" si="9"/>
        <v>174237.39199757946</v>
      </c>
      <c r="J31" s="67" t="s">
        <v>97</v>
      </c>
    </row>
    <row r="32" spans="1:10" x14ac:dyDescent="0.3">
      <c r="A32" s="76" t="s">
        <v>77</v>
      </c>
      <c r="B32" s="88">
        <f>SUM(B13:B31)</f>
        <v>250</v>
      </c>
      <c r="C32" s="88">
        <f t="shared" ref="C32:I32" si="10">SUM(C13:C31)</f>
        <v>328010672</v>
      </c>
      <c r="D32" s="88">
        <f t="shared" si="10"/>
        <v>594519327.99999988</v>
      </c>
      <c r="E32" s="88">
        <f t="shared" si="10"/>
        <v>922529999.99999976</v>
      </c>
      <c r="F32" s="88">
        <f t="shared" si="10"/>
        <v>7840682.5124044465</v>
      </c>
      <c r="G32" s="88">
        <f t="shared" si="10"/>
        <v>251042803</v>
      </c>
      <c r="H32" s="88">
        <f t="shared" si="10"/>
        <v>1173572802.9999998</v>
      </c>
      <c r="I32" s="88">
        <f t="shared" si="10"/>
        <v>9974322.5190677494</v>
      </c>
      <c r="J32" s="67"/>
    </row>
    <row r="34" spans="1:9" ht="43.2" x14ac:dyDescent="0.3">
      <c r="A34" s="76" t="s">
        <v>101</v>
      </c>
      <c r="B34" s="87"/>
      <c r="C34" s="88" t="s">
        <v>70</v>
      </c>
      <c r="D34" s="88" t="s">
        <v>71</v>
      </c>
      <c r="E34" s="88" t="s">
        <v>73</v>
      </c>
      <c r="F34" s="88" t="s">
        <v>74</v>
      </c>
      <c r="G34" s="88" t="s">
        <v>72</v>
      </c>
      <c r="H34" s="88" t="s">
        <v>75</v>
      </c>
      <c r="I34" s="76" t="s">
        <v>76</v>
      </c>
    </row>
    <row r="35" spans="1:9" x14ac:dyDescent="0.3">
      <c r="A35" s="76" t="s">
        <v>100</v>
      </c>
      <c r="B35" s="87"/>
      <c r="C35" s="77">
        <f>C10+C32</f>
        <v>650896172</v>
      </c>
      <c r="D35" s="77">
        <f t="shared" ref="D35:I35" si="11">D10+D32</f>
        <v>1194163828</v>
      </c>
      <c r="E35" s="77">
        <f t="shared" si="11"/>
        <v>1845059999.9999998</v>
      </c>
      <c r="F35" s="77">
        <f t="shared" si="11"/>
        <v>15681365.024808897</v>
      </c>
      <c r="G35" s="77">
        <f t="shared" si="11"/>
        <v>362932203</v>
      </c>
      <c r="H35" s="77">
        <f t="shared" si="11"/>
        <v>2207992203</v>
      </c>
      <c r="I35" s="77">
        <f t="shared" si="11"/>
        <v>18765965.175753061</v>
      </c>
    </row>
    <row r="36" spans="1:9" s="79" customFormat="1" x14ac:dyDescent="0.3">
      <c r="A36" s="89"/>
      <c r="B36" s="90"/>
      <c r="C36" s="91"/>
      <c r="D36" s="91"/>
      <c r="E36" s="91"/>
      <c r="F36" s="91"/>
      <c r="G36" s="91"/>
      <c r="H36" s="91"/>
      <c r="I36" s="91"/>
    </row>
    <row r="37" spans="1:9" s="79" customFormat="1" x14ac:dyDescent="0.3">
      <c r="A37" s="215" t="s">
        <v>103</v>
      </c>
      <c r="B37" s="215"/>
      <c r="C37" s="215"/>
      <c r="D37" s="215"/>
      <c r="E37" s="215"/>
      <c r="F37" s="215"/>
      <c r="G37" s="215"/>
      <c r="H37" s="215"/>
      <c r="I37" s="215"/>
    </row>
    <row r="38" spans="1:9" ht="43.2" x14ac:dyDescent="0.3">
      <c r="A38" s="76" t="s">
        <v>102</v>
      </c>
      <c r="B38" s="87" t="s">
        <v>82</v>
      </c>
      <c r="C38" s="88" t="s">
        <v>70</v>
      </c>
      <c r="D38" s="88" t="s">
        <v>71</v>
      </c>
      <c r="E38" s="88" t="s">
        <v>73</v>
      </c>
      <c r="F38" s="88" t="s">
        <v>74</v>
      </c>
      <c r="G38" s="88" t="s">
        <v>72</v>
      </c>
      <c r="H38" s="88" t="s">
        <v>75</v>
      </c>
      <c r="I38" s="76" t="s">
        <v>76</v>
      </c>
    </row>
    <row r="39" spans="1:9" x14ac:dyDescent="0.3">
      <c r="A39" s="82" t="s">
        <v>63</v>
      </c>
      <c r="B39" s="81">
        <f>B13+B2</f>
        <v>120</v>
      </c>
      <c r="C39" s="81">
        <f t="shared" ref="C39:I39" si="12">C13+C2</f>
        <v>66627167</v>
      </c>
      <c r="D39" s="81">
        <f t="shared" si="12"/>
        <v>885013777.44000006</v>
      </c>
      <c r="E39" s="81">
        <f t="shared" si="12"/>
        <v>951640944.44000006</v>
      </c>
      <c r="F39" s="81">
        <f t="shared" si="12"/>
        <v>8088099.5860934183</v>
      </c>
      <c r="G39" s="81">
        <f t="shared" si="12"/>
        <v>174000000</v>
      </c>
      <c r="H39" s="81">
        <f t="shared" si="12"/>
        <v>1125640944.4400001</v>
      </c>
      <c r="I39" s="81">
        <f t="shared" si="12"/>
        <v>9566944.4552666433</v>
      </c>
    </row>
    <row r="40" spans="1:9" x14ac:dyDescent="0.3">
      <c r="A40" s="82" t="s">
        <v>64</v>
      </c>
      <c r="B40" s="81">
        <f>B14+B3</f>
        <v>37</v>
      </c>
      <c r="C40" s="81">
        <f t="shared" ref="C40:I40" si="13">C14+C3</f>
        <v>66627167</v>
      </c>
      <c r="D40" s="81">
        <f t="shared" si="13"/>
        <v>87988860.544</v>
      </c>
      <c r="E40" s="81">
        <f t="shared" si="13"/>
        <v>154616027.544</v>
      </c>
      <c r="F40" s="81">
        <f t="shared" si="13"/>
        <v>1314098.3852033922</v>
      </c>
      <c r="G40" s="81">
        <f t="shared" si="13"/>
        <v>4122500</v>
      </c>
      <c r="H40" s="81">
        <f t="shared" si="13"/>
        <v>158738527.544</v>
      </c>
      <c r="I40" s="81">
        <f t="shared" si="13"/>
        <v>1349135.959761821</v>
      </c>
    </row>
    <row r="41" spans="1:9" x14ac:dyDescent="0.3">
      <c r="A41" s="82" t="s">
        <v>84</v>
      </c>
      <c r="B41" s="81">
        <f>B16+B4</f>
        <v>15</v>
      </c>
      <c r="C41" s="81">
        <f t="shared" ref="C41:I41" si="14">C16+C4</f>
        <v>66627167</v>
      </c>
      <c r="D41" s="81">
        <f t="shared" si="14"/>
        <v>35671159.68</v>
      </c>
      <c r="E41" s="81">
        <f t="shared" si="14"/>
        <v>102298326.68000001</v>
      </c>
      <c r="F41" s="81">
        <f t="shared" si="14"/>
        <v>869444.57204439258</v>
      </c>
      <c r="G41" s="81">
        <f t="shared" si="14"/>
        <v>7236400</v>
      </c>
      <c r="H41" s="81">
        <f t="shared" si="14"/>
        <v>109534726.68000001</v>
      </c>
      <c r="I41" s="81">
        <f t="shared" si="14"/>
        <v>930947.52038511157</v>
      </c>
    </row>
    <row r="42" spans="1:9" x14ac:dyDescent="0.3">
      <c r="A42" s="82" t="s">
        <v>66</v>
      </c>
      <c r="B42" s="81">
        <f>B18+B5</f>
        <v>10</v>
      </c>
      <c r="C42" s="81">
        <f t="shared" ref="C42:I42" si="15">C18+C5</f>
        <v>66627167</v>
      </c>
      <c r="D42" s="81">
        <f t="shared" si="15"/>
        <v>23780773.119999997</v>
      </c>
      <c r="E42" s="81">
        <f t="shared" si="15"/>
        <v>90407940.120000005</v>
      </c>
      <c r="F42" s="81">
        <f t="shared" si="15"/>
        <v>768386.88723552891</v>
      </c>
      <c r="G42" s="81">
        <f t="shared" si="15"/>
        <v>1440800</v>
      </c>
      <c r="H42" s="81">
        <f t="shared" si="15"/>
        <v>91848740.120000005</v>
      </c>
      <c r="I42" s="81">
        <f t="shared" si="15"/>
        <v>780632.40268095874</v>
      </c>
    </row>
    <row r="43" spans="1:9" x14ac:dyDescent="0.3">
      <c r="A43" s="82" t="s">
        <v>67</v>
      </c>
      <c r="B43" s="81">
        <f>B19+B6</f>
        <v>10</v>
      </c>
      <c r="C43" s="81">
        <f t="shared" ref="C43:I43" si="16">C19+C6</f>
        <v>66627167</v>
      </c>
      <c r="D43" s="81">
        <f t="shared" si="16"/>
        <v>23780773.119999997</v>
      </c>
      <c r="E43" s="81">
        <f t="shared" si="16"/>
        <v>90407940.120000005</v>
      </c>
      <c r="F43" s="81">
        <f t="shared" si="16"/>
        <v>768386.88723552891</v>
      </c>
      <c r="G43" s="81">
        <f t="shared" si="16"/>
        <v>0</v>
      </c>
      <c r="H43" s="81">
        <f t="shared" si="16"/>
        <v>90407940.120000005</v>
      </c>
      <c r="I43" s="81">
        <f t="shared" si="16"/>
        <v>768386.88723552891</v>
      </c>
    </row>
    <row r="44" spans="1:9" x14ac:dyDescent="0.3">
      <c r="A44" s="82" t="s">
        <v>65</v>
      </c>
      <c r="B44" s="81">
        <f>B17+B7</f>
        <v>12</v>
      </c>
      <c r="C44" s="81">
        <f t="shared" ref="C44:I44" si="17">C17+C7</f>
        <v>66627167</v>
      </c>
      <c r="D44" s="81">
        <f t="shared" si="17"/>
        <v>28536927.743999999</v>
      </c>
      <c r="E44" s="81">
        <f t="shared" si="17"/>
        <v>95164094.744000003</v>
      </c>
      <c r="F44" s="81">
        <f t="shared" si="17"/>
        <v>808809.96115907445</v>
      </c>
      <c r="G44" s="81">
        <f t="shared" si="17"/>
        <v>2764203</v>
      </c>
      <c r="H44" s="81">
        <f t="shared" si="17"/>
        <v>97928297.744000003</v>
      </c>
      <c r="I44" s="81">
        <f t="shared" si="17"/>
        <v>832303.22221598949</v>
      </c>
    </row>
    <row r="45" spans="1:9" x14ac:dyDescent="0.3">
      <c r="A45" s="82" t="s">
        <v>68</v>
      </c>
      <c r="B45" s="81">
        <f>B25+B8</f>
        <v>0</v>
      </c>
      <c r="C45" s="81">
        <f t="shared" ref="C45:I45" si="18">C25+C8</f>
        <v>66627167</v>
      </c>
      <c r="D45" s="81">
        <f t="shared" si="18"/>
        <v>0</v>
      </c>
      <c r="E45" s="81">
        <f t="shared" si="18"/>
        <v>66627167</v>
      </c>
      <c r="F45" s="81">
        <f t="shared" si="18"/>
        <v>566271.5176178019</v>
      </c>
      <c r="G45" s="81">
        <f t="shared" si="18"/>
        <v>0</v>
      </c>
      <c r="H45" s="81">
        <f t="shared" si="18"/>
        <v>66627167</v>
      </c>
      <c r="I45" s="81">
        <f t="shared" si="18"/>
        <v>566271.5176178019</v>
      </c>
    </row>
    <row r="46" spans="1:9" x14ac:dyDescent="0.3">
      <c r="A46" s="82" t="s">
        <v>69</v>
      </c>
      <c r="B46" s="81">
        <f>B9</f>
        <v>0</v>
      </c>
      <c r="C46" s="81">
        <f t="shared" ref="C46:I46" si="19">C9</f>
        <v>0</v>
      </c>
      <c r="D46" s="81">
        <f t="shared" si="19"/>
        <v>0</v>
      </c>
      <c r="E46" s="81">
        <f t="shared" si="19"/>
        <v>0</v>
      </c>
      <c r="F46" s="81">
        <f t="shared" si="19"/>
        <v>0</v>
      </c>
      <c r="G46" s="81">
        <f t="shared" si="19"/>
        <v>0</v>
      </c>
      <c r="H46" s="81">
        <f t="shared" si="19"/>
        <v>0</v>
      </c>
      <c r="I46" s="81">
        <f t="shared" si="19"/>
        <v>0</v>
      </c>
    </row>
    <row r="47" spans="1:9" x14ac:dyDescent="0.3">
      <c r="A47" s="70" t="s">
        <v>83</v>
      </c>
      <c r="B47" s="81">
        <f>B15</f>
        <v>32</v>
      </c>
      <c r="C47" s="81">
        <f t="shared" ref="C47:I47" si="20">C15</f>
        <v>20500667</v>
      </c>
      <c r="D47" s="81">
        <f t="shared" si="20"/>
        <v>76098473.983999997</v>
      </c>
      <c r="E47" s="81">
        <f t="shared" si="20"/>
        <v>96599140.983999997</v>
      </c>
      <c r="F47" s="81">
        <f t="shared" si="20"/>
        <v>821006.57477430615</v>
      </c>
      <c r="G47" s="81">
        <f t="shared" si="20"/>
        <v>119142800</v>
      </c>
      <c r="H47" s="81">
        <f t="shared" si="20"/>
        <v>215741940.984</v>
      </c>
      <c r="I47" s="81">
        <f t="shared" si="20"/>
        <v>1833614.15223943</v>
      </c>
    </row>
    <row r="48" spans="1:9" x14ac:dyDescent="0.3">
      <c r="A48" s="70" t="s">
        <v>85</v>
      </c>
      <c r="B48" s="81">
        <f>B20</f>
        <v>6</v>
      </c>
      <c r="C48" s="81">
        <f t="shared" ref="C48:I48" si="21">C20</f>
        <v>20500667</v>
      </c>
      <c r="D48" s="81">
        <f t="shared" si="21"/>
        <v>14268463.872</v>
      </c>
      <c r="E48" s="81">
        <f t="shared" si="21"/>
        <v>34769130.872000001</v>
      </c>
      <c r="F48" s="81">
        <f t="shared" si="21"/>
        <v>295506.6137682157</v>
      </c>
      <c r="G48" s="81">
        <f t="shared" si="21"/>
        <v>14500000</v>
      </c>
      <c r="H48" s="81">
        <f t="shared" si="21"/>
        <v>49269130.872000001</v>
      </c>
      <c r="I48" s="81">
        <f t="shared" si="21"/>
        <v>418743.68619931769</v>
      </c>
    </row>
    <row r="49" spans="1:9" s="79" customFormat="1" x14ac:dyDescent="0.3">
      <c r="A49" s="70" t="str">
        <f>A21</f>
        <v>SPP</v>
      </c>
      <c r="B49" s="70">
        <f>B21</f>
        <v>3</v>
      </c>
      <c r="C49" s="70">
        <f t="shared" ref="C49:I49" si="22">C21</f>
        <v>20500667</v>
      </c>
      <c r="D49" s="70">
        <f t="shared" si="22"/>
        <v>7134231.9359999998</v>
      </c>
      <c r="E49" s="70">
        <f t="shared" si="22"/>
        <v>27634898.936000001</v>
      </c>
      <c r="F49" s="70">
        <f t="shared" si="22"/>
        <v>234872.00288289759</v>
      </c>
      <c r="G49" s="70">
        <f t="shared" si="22"/>
        <v>0</v>
      </c>
      <c r="H49" s="70">
        <f t="shared" si="22"/>
        <v>27634898.936000001</v>
      </c>
      <c r="I49" s="70">
        <f t="shared" si="22"/>
        <v>234872.00288289759</v>
      </c>
    </row>
    <row r="50" spans="1:9" x14ac:dyDescent="0.3">
      <c r="A50" s="70" t="s">
        <v>86</v>
      </c>
      <c r="B50" s="70">
        <f t="shared" ref="B50:I50" si="23">B22</f>
        <v>2</v>
      </c>
      <c r="C50" s="70">
        <f t="shared" si="23"/>
        <v>20500667</v>
      </c>
      <c r="D50" s="70">
        <f t="shared" si="23"/>
        <v>4756154.6239999998</v>
      </c>
      <c r="E50" s="70">
        <f t="shared" si="23"/>
        <v>25256821.623999998</v>
      </c>
      <c r="F50" s="70">
        <f t="shared" si="23"/>
        <v>214660.46592112485</v>
      </c>
      <c r="G50" s="70">
        <f t="shared" si="23"/>
        <v>3635000</v>
      </c>
      <c r="H50" s="70">
        <f t="shared" si="23"/>
        <v>28891821.623999998</v>
      </c>
      <c r="I50" s="70">
        <f t="shared" si="23"/>
        <v>245554.72511333559</v>
      </c>
    </row>
    <row r="51" spans="1:9" x14ac:dyDescent="0.3">
      <c r="A51" s="70" t="s">
        <v>87</v>
      </c>
      <c r="B51" s="70">
        <f t="shared" ref="B51:I51" si="24">B23</f>
        <v>2</v>
      </c>
      <c r="C51" s="70">
        <f t="shared" si="24"/>
        <v>20500667</v>
      </c>
      <c r="D51" s="70">
        <f t="shared" si="24"/>
        <v>4756154.6239999998</v>
      </c>
      <c r="E51" s="70">
        <f t="shared" si="24"/>
        <v>25256821.623999998</v>
      </c>
      <c r="F51" s="70">
        <f t="shared" si="24"/>
        <v>214660.46592112485</v>
      </c>
      <c r="G51" s="70">
        <f t="shared" si="24"/>
        <v>81000</v>
      </c>
      <c r="H51" s="70">
        <f t="shared" si="24"/>
        <v>25337821.623999998</v>
      </c>
      <c r="I51" s="70">
        <f t="shared" si="24"/>
        <v>215348.89370505032</v>
      </c>
    </row>
    <row r="52" spans="1:9" x14ac:dyDescent="0.3">
      <c r="A52" s="70" t="s">
        <v>88</v>
      </c>
      <c r="B52" s="70">
        <f t="shared" ref="B52:I52" si="25">B24</f>
        <v>1</v>
      </c>
      <c r="C52" s="70">
        <f t="shared" si="25"/>
        <v>20500667</v>
      </c>
      <c r="D52" s="70">
        <f t="shared" si="25"/>
        <v>2378077.3119999999</v>
      </c>
      <c r="E52" s="70">
        <f t="shared" si="25"/>
        <v>22878744.311999999</v>
      </c>
      <c r="F52" s="70">
        <f t="shared" si="25"/>
        <v>194448.92895935214</v>
      </c>
      <c r="G52" s="70">
        <f t="shared" si="25"/>
        <v>4410000</v>
      </c>
      <c r="H52" s="70">
        <f t="shared" si="25"/>
        <v>27288744.311999999</v>
      </c>
      <c r="I52" s="70">
        <f t="shared" si="25"/>
        <v>231929.99719529419</v>
      </c>
    </row>
    <row r="53" spans="1:9" x14ac:dyDescent="0.3">
      <c r="A53" s="70" t="s">
        <v>89</v>
      </c>
      <c r="B53" s="81">
        <f>B26</f>
        <v>0</v>
      </c>
      <c r="C53" s="81">
        <f t="shared" ref="C53:I53" si="26">C26</f>
        <v>20500667</v>
      </c>
      <c r="D53" s="81">
        <f t="shared" si="26"/>
        <v>0</v>
      </c>
      <c r="E53" s="81">
        <f t="shared" si="26"/>
        <v>20500667</v>
      </c>
      <c r="F53" s="81">
        <f t="shared" si="26"/>
        <v>174237.39199757946</v>
      </c>
      <c r="G53" s="81">
        <f t="shared" si="26"/>
        <v>28510000</v>
      </c>
      <c r="H53" s="81">
        <f t="shared" si="26"/>
        <v>49010667</v>
      </c>
      <c r="I53" s="81">
        <f t="shared" si="26"/>
        <v>416546.97372245649</v>
      </c>
    </row>
    <row r="54" spans="1:9" x14ac:dyDescent="0.3">
      <c r="A54" s="70" t="s">
        <v>90</v>
      </c>
      <c r="B54" s="81">
        <f t="shared" ref="B54:I58" si="27">B27</f>
        <v>0</v>
      </c>
      <c r="C54" s="81">
        <f t="shared" si="27"/>
        <v>20500667</v>
      </c>
      <c r="D54" s="81">
        <f t="shared" si="27"/>
        <v>0</v>
      </c>
      <c r="E54" s="81">
        <f t="shared" si="27"/>
        <v>20500667</v>
      </c>
      <c r="F54" s="81">
        <f t="shared" si="27"/>
        <v>174237.39199757946</v>
      </c>
      <c r="G54" s="81">
        <f t="shared" si="27"/>
        <v>3089500</v>
      </c>
      <c r="H54" s="81">
        <f t="shared" si="27"/>
        <v>23590167</v>
      </c>
      <c r="I54" s="81">
        <f t="shared" si="27"/>
        <v>200495.38753384768</v>
      </c>
    </row>
    <row r="55" spans="1:9" x14ac:dyDescent="0.3">
      <c r="A55" s="70" t="s">
        <v>91</v>
      </c>
      <c r="B55" s="81">
        <f t="shared" si="27"/>
        <v>0</v>
      </c>
      <c r="C55" s="81">
        <f t="shared" si="27"/>
        <v>0</v>
      </c>
      <c r="D55" s="81">
        <f t="shared" si="27"/>
        <v>0</v>
      </c>
      <c r="E55" s="81">
        <f t="shared" si="27"/>
        <v>0</v>
      </c>
      <c r="F55" s="81">
        <f t="shared" si="27"/>
        <v>0</v>
      </c>
      <c r="G55" s="81">
        <f t="shared" si="27"/>
        <v>0</v>
      </c>
      <c r="H55" s="81">
        <f t="shared" si="27"/>
        <v>0</v>
      </c>
      <c r="I55" s="81">
        <f t="shared" si="27"/>
        <v>0</v>
      </c>
    </row>
    <row r="56" spans="1:9" x14ac:dyDescent="0.3">
      <c r="A56" s="70" t="s">
        <v>92</v>
      </c>
      <c r="B56" s="81">
        <f t="shared" si="27"/>
        <v>0</v>
      </c>
      <c r="C56" s="81">
        <f t="shared" si="27"/>
        <v>0</v>
      </c>
      <c r="D56" s="81">
        <f t="shared" si="27"/>
        <v>0</v>
      </c>
      <c r="E56" s="81">
        <f t="shared" si="27"/>
        <v>0</v>
      </c>
      <c r="F56" s="81">
        <f t="shared" si="27"/>
        <v>0</v>
      </c>
      <c r="G56" s="81">
        <f t="shared" si="27"/>
        <v>0</v>
      </c>
      <c r="H56" s="81">
        <f t="shared" si="27"/>
        <v>0</v>
      </c>
      <c r="I56" s="81">
        <f t="shared" si="27"/>
        <v>0</v>
      </c>
    </row>
    <row r="57" spans="1:9" x14ac:dyDescent="0.3">
      <c r="A57" s="70" t="s">
        <v>93</v>
      </c>
      <c r="B57" s="81">
        <f t="shared" si="27"/>
        <v>0</v>
      </c>
      <c r="C57" s="81">
        <f t="shared" si="27"/>
        <v>0</v>
      </c>
      <c r="D57" s="81">
        <f t="shared" si="27"/>
        <v>0</v>
      </c>
      <c r="E57" s="81">
        <f t="shared" si="27"/>
        <v>0</v>
      </c>
      <c r="F57" s="81">
        <f t="shared" si="27"/>
        <v>0</v>
      </c>
      <c r="G57" s="81">
        <f t="shared" si="27"/>
        <v>0</v>
      </c>
      <c r="H57" s="81">
        <f t="shared" si="27"/>
        <v>0</v>
      </c>
      <c r="I57" s="81">
        <f t="shared" si="27"/>
        <v>0</v>
      </c>
    </row>
    <row r="58" spans="1:9" x14ac:dyDescent="0.3">
      <c r="A58" s="70" t="s">
        <v>94</v>
      </c>
      <c r="B58" s="81">
        <f t="shared" si="27"/>
        <v>0</v>
      </c>
      <c r="C58" s="81">
        <f t="shared" si="27"/>
        <v>20500667</v>
      </c>
      <c r="D58" s="81">
        <f t="shared" si="27"/>
        <v>0</v>
      </c>
      <c r="E58" s="81">
        <f t="shared" si="27"/>
        <v>20500667</v>
      </c>
      <c r="F58" s="81">
        <f t="shared" si="27"/>
        <v>174237.39199757946</v>
      </c>
      <c r="G58" s="81">
        <f t="shared" si="27"/>
        <v>0</v>
      </c>
      <c r="H58" s="81">
        <f t="shared" si="27"/>
        <v>20500667</v>
      </c>
      <c r="I58" s="81">
        <f t="shared" si="27"/>
        <v>174237.39199757946</v>
      </c>
    </row>
    <row r="59" spans="1:9" x14ac:dyDescent="0.3">
      <c r="A59" s="76" t="s">
        <v>77</v>
      </c>
      <c r="B59" s="77">
        <f>SUM(B39:B58)</f>
        <v>250</v>
      </c>
      <c r="C59" s="77">
        <f t="shared" ref="C59:I59" si="28">SUM(C39:C58)</f>
        <v>650896172</v>
      </c>
      <c r="D59" s="77">
        <f t="shared" si="28"/>
        <v>1194163828.0000002</v>
      </c>
      <c r="E59" s="77">
        <f t="shared" si="28"/>
        <v>1845060000</v>
      </c>
      <c r="F59" s="77">
        <f t="shared" si="28"/>
        <v>15681365.024808899</v>
      </c>
      <c r="G59" s="77">
        <f t="shared" si="28"/>
        <v>362932203</v>
      </c>
      <c r="H59" s="77">
        <f t="shared" si="28"/>
        <v>2207992203</v>
      </c>
      <c r="I59" s="77">
        <f t="shared" si="28"/>
        <v>18765965.175753068</v>
      </c>
    </row>
    <row r="61" spans="1:9" ht="43.2" x14ac:dyDescent="0.3">
      <c r="A61" s="92" t="s">
        <v>108</v>
      </c>
      <c r="B61" s="92"/>
      <c r="C61" s="92"/>
      <c r="D61" s="92"/>
      <c r="E61" s="92"/>
      <c r="F61" s="92"/>
      <c r="G61" s="92"/>
      <c r="H61" s="92"/>
      <c r="I61" s="92"/>
    </row>
    <row r="62" spans="1:9" ht="28.8" x14ac:dyDescent="0.3">
      <c r="A62" s="92" t="s">
        <v>102</v>
      </c>
      <c r="B62" s="92" t="s">
        <v>82</v>
      </c>
      <c r="C62" s="92" t="s">
        <v>70</v>
      </c>
      <c r="D62" s="92" t="s">
        <v>71</v>
      </c>
      <c r="E62" s="92" t="s">
        <v>73</v>
      </c>
      <c r="F62" s="92" t="s">
        <v>74</v>
      </c>
      <c r="G62" s="92" t="s">
        <v>72</v>
      </c>
      <c r="H62" s="92" t="s">
        <v>75</v>
      </c>
      <c r="I62" s="92" t="s">
        <v>76</v>
      </c>
    </row>
    <row r="63" spans="1:9" x14ac:dyDescent="0.3">
      <c r="A63" s="92" t="s">
        <v>63</v>
      </c>
      <c r="B63" s="92">
        <v>120</v>
      </c>
      <c r="C63" s="92">
        <v>67908458.5</v>
      </c>
      <c r="D63" s="92">
        <v>883014959.88</v>
      </c>
      <c r="E63" s="92">
        <v>950923418.38</v>
      </c>
      <c r="F63" s="92">
        <v>8082001.2542984234</v>
      </c>
      <c r="G63" s="92">
        <v>174000000</v>
      </c>
      <c r="H63" s="92">
        <v>1124923418.3800001</v>
      </c>
      <c r="I63" s="92">
        <v>9560846.1234716475</v>
      </c>
    </row>
    <row r="64" spans="1:9" x14ac:dyDescent="0.3">
      <c r="A64" s="92" t="s">
        <v>64</v>
      </c>
      <c r="B64" s="92">
        <v>37</v>
      </c>
      <c r="C64" s="92">
        <v>67908458.5</v>
      </c>
      <c r="D64" s="92">
        <v>112261649.088</v>
      </c>
      <c r="E64" s="92">
        <v>180170107.588</v>
      </c>
      <c r="F64" s="92">
        <v>1531285.2826718476</v>
      </c>
      <c r="G64" s="92">
        <v>4122500</v>
      </c>
      <c r="H64" s="92">
        <v>184292607.588</v>
      </c>
      <c r="I64" s="92">
        <v>1566322.8572302766</v>
      </c>
    </row>
    <row r="65" spans="1:9" x14ac:dyDescent="0.3">
      <c r="A65" s="92" t="s">
        <v>84</v>
      </c>
      <c r="B65" s="92">
        <v>15</v>
      </c>
      <c r="C65" s="92">
        <v>67908458.5</v>
      </c>
      <c r="D65" s="92">
        <v>45511479.359999999</v>
      </c>
      <c r="E65" s="92">
        <v>113419937.86</v>
      </c>
      <c r="F65" s="92">
        <v>963968.35152992443</v>
      </c>
      <c r="G65" s="92">
        <v>7236400</v>
      </c>
      <c r="H65" s="92">
        <v>120656337.86</v>
      </c>
      <c r="I65" s="92">
        <v>1025471.2998706435</v>
      </c>
    </row>
    <row r="66" spans="1:9" x14ac:dyDescent="0.3">
      <c r="A66" s="92" t="s">
        <v>66</v>
      </c>
      <c r="B66" s="92">
        <v>10</v>
      </c>
      <c r="C66" s="92">
        <v>67908458.5</v>
      </c>
      <c r="D66" s="92">
        <v>30340986.239999998</v>
      </c>
      <c r="E66" s="92">
        <v>98249444.739999995</v>
      </c>
      <c r="F66" s="92">
        <v>835032.68536130548</v>
      </c>
      <c r="G66" s="92">
        <v>1440800</v>
      </c>
      <c r="H66" s="92">
        <v>99690244.739999995</v>
      </c>
      <c r="I66" s="92">
        <v>847278.20080673532</v>
      </c>
    </row>
    <row r="67" spans="1:9" x14ac:dyDescent="0.3">
      <c r="A67" s="92" t="s">
        <v>67</v>
      </c>
      <c r="B67" s="92">
        <v>10</v>
      </c>
      <c r="C67" s="92">
        <v>67908458.5</v>
      </c>
      <c r="D67" s="92">
        <v>30340986.239999998</v>
      </c>
      <c r="E67" s="92">
        <v>98249444.739999995</v>
      </c>
      <c r="F67" s="92">
        <v>835032.68536130548</v>
      </c>
      <c r="G67" s="92">
        <v>0</v>
      </c>
      <c r="H67" s="92">
        <v>98249444.739999995</v>
      </c>
      <c r="I67" s="92">
        <v>835032.68536130548</v>
      </c>
    </row>
    <row r="68" spans="1:9" x14ac:dyDescent="0.3">
      <c r="A68" s="92" t="s">
        <v>65</v>
      </c>
      <c r="B68" s="92">
        <v>12</v>
      </c>
      <c r="C68" s="92">
        <v>67908458.5</v>
      </c>
      <c r="D68" s="92">
        <v>36409183.487999998</v>
      </c>
      <c r="E68" s="92">
        <v>104317641.98800001</v>
      </c>
      <c r="F68" s="92">
        <v>886606.95182875311</v>
      </c>
      <c r="G68" s="92">
        <v>2764203</v>
      </c>
      <c r="H68" s="92">
        <v>107081844.98800001</v>
      </c>
      <c r="I68" s="92">
        <v>910100.21288566827</v>
      </c>
    </row>
    <row r="69" spans="1:9" x14ac:dyDescent="0.3">
      <c r="A69" s="92" t="s">
        <v>68</v>
      </c>
      <c r="B69" s="92">
        <v>0</v>
      </c>
      <c r="C69" s="92">
        <v>67908458.5</v>
      </c>
      <c r="D69" s="92">
        <v>0</v>
      </c>
      <c r="E69" s="92">
        <v>67908458.5</v>
      </c>
      <c r="F69" s="92">
        <v>577161.35302406771</v>
      </c>
      <c r="G69" s="92">
        <v>0</v>
      </c>
      <c r="H69" s="92">
        <v>67908458.5</v>
      </c>
      <c r="I69" s="92">
        <v>577161.35302406771</v>
      </c>
    </row>
    <row r="70" spans="1:9" x14ac:dyDescent="0.3">
      <c r="A70" s="92" t="s">
        <v>69</v>
      </c>
      <c r="B70" s="92">
        <v>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</row>
    <row r="71" spans="1:9" x14ac:dyDescent="0.3">
      <c r="A71" s="92" t="s">
        <v>83</v>
      </c>
      <c r="B71" s="92">
        <v>32</v>
      </c>
      <c r="C71" s="92">
        <v>10250333.5</v>
      </c>
      <c r="D71" s="92">
        <v>97091155.967999995</v>
      </c>
      <c r="E71" s="92">
        <v>107341489.46799999</v>
      </c>
      <c r="F71" s="92">
        <v>912306.9594779507</v>
      </c>
      <c r="G71" s="92">
        <v>119142800</v>
      </c>
      <c r="H71" s="92">
        <v>226484289.46799999</v>
      </c>
      <c r="I71" s="92">
        <v>1924914.5369430745</v>
      </c>
    </row>
    <row r="72" spans="1:9" x14ac:dyDescent="0.3">
      <c r="A72" s="92" t="s">
        <v>85</v>
      </c>
      <c r="B72" s="92">
        <v>6</v>
      </c>
      <c r="C72" s="92">
        <v>10250333.5</v>
      </c>
      <c r="D72" s="92">
        <v>18204591.743999999</v>
      </c>
      <c r="E72" s="92">
        <v>28454925.243999999</v>
      </c>
      <c r="F72" s="92">
        <v>241841.49540113242</v>
      </c>
      <c r="G72" s="92">
        <v>14500000</v>
      </c>
      <c r="H72" s="92">
        <v>42954925.244000003</v>
      </c>
      <c r="I72" s="92">
        <v>365078.56783223443</v>
      </c>
    </row>
    <row r="73" spans="1:9" x14ac:dyDescent="0.3">
      <c r="A73" s="92" t="s">
        <v>95</v>
      </c>
      <c r="B73" s="92">
        <v>3</v>
      </c>
      <c r="C73" s="92">
        <v>10250333.5</v>
      </c>
      <c r="D73" s="92">
        <v>9102295.8719999995</v>
      </c>
      <c r="E73" s="92">
        <v>19352629.372000001</v>
      </c>
      <c r="F73" s="92">
        <v>164480.09569996106</v>
      </c>
      <c r="G73" s="92">
        <v>0</v>
      </c>
      <c r="H73" s="92">
        <v>19352629.372000001</v>
      </c>
      <c r="I73" s="92">
        <v>164480.09569996106</v>
      </c>
    </row>
    <row r="74" spans="1:9" x14ac:dyDescent="0.3">
      <c r="A74" s="92" t="s">
        <v>86</v>
      </c>
      <c r="B74" s="92">
        <v>2</v>
      </c>
      <c r="C74" s="92">
        <v>10250333.5</v>
      </c>
      <c r="D74" s="92">
        <v>6068197.2479999997</v>
      </c>
      <c r="E74" s="92">
        <v>16318530.748</v>
      </c>
      <c r="F74" s="92">
        <v>138692.96246623728</v>
      </c>
      <c r="G74" s="92">
        <v>3635000</v>
      </c>
      <c r="H74" s="92">
        <v>19953530.748</v>
      </c>
      <c r="I74" s="92">
        <v>169587.22165844802</v>
      </c>
    </row>
    <row r="75" spans="1:9" x14ac:dyDescent="0.3">
      <c r="A75" s="92" t="s">
        <v>87</v>
      </c>
      <c r="B75" s="92">
        <v>2</v>
      </c>
      <c r="C75" s="92">
        <v>10250333.5</v>
      </c>
      <c r="D75" s="92">
        <v>6068197.2479999997</v>
      </c>
      <c r="E75" s="92">
        <v>16318530.748</v>
      </c>
      <c r="F75" s="92">
        <v>138692.96246623728</v>
      </c>
      <c r="G75" s="92">
        <v>81000</v>
      </c>
      <c r="H75" s="92">
        <v>16399530.748</v>
      </c>
      <c r="I75" s="92">
        <v>139381.39025016275</v>
      </c>
    </row>
    <row r="76" spans="1:9" x14ac:dyDescent="0.3">
      <c r="A76" s="92" t="s">
        <v>88</v>
      </c>
      <c r="B76" s="92">
        <v>1</v>
      </c>
      <c r="C76" s="92">
        <v>10250333.5</v>
      </c>
      <c r="D76" s="92">
        <v>3034098.6239999998</v>
      </c>
      <c r="E76" s="92">
        <v>13284432.124</v>
      </c>
      <c r="F76" s="92">
        <v>112905.8292325135</v>
      </c>
      <c r="G76" s="92">
        <v>4410000</v>
      </c>
      <c r="H76" s="92">
        <v>17694432.123999998</v>
      </c>
      <c r="I76" s="92">
        <v>150386.89746845554</v>
      </c>
    </row>
    <row r="77" spans="1:9" x14ac:dyDescent="0.3">
      <c r="A77" s="92" t="s">
        <v>89</v>
      </c>
      <c r="B77" s="92">
        <v>0</v>
      </c>
      <c r="C77" s="92">
        <v>10250333.5</v>
      </c>
      <c r="D77" s="92">
        <v>0</v>
      </c>
      <c r="E77" s="92">
        <v>10250333.5</v>
      </c>
      <c r="F77" s="92">
        <v>87118.695998789728</v>
      </c>
      <c r="G77" s="92">
        <v>28510000</v>
      </c>
      <c r="H77" s="92">
        <v>38760333.5</v>
      </c>
      <c r="I77" s="92">
        <v>329428.27772366675</v>
      </c>
    </row>
    <row r="78" spans="1:9" x14ac:dyDescent="0.3">
      <c r="A78" s="92" t="s">
        <v>90</v>
      </c>
      <c r="B78" s="92">
        <v>0</v>
      </c>
      <c r="C78" s="92">
        <v>10250333.5</v>
      </c>
      <c r="D78" s="92">
        <v>0</v>
      </c>
      <c r="E78" s="92">
        <v>10250333.5</v>
      </c>
      <c r="F78" s="92">
        <v>87118.695998789728</v>
      </c>
      <c r="G78" s="92">
        <v>3089500</v>
      </c>
      <c r="H78" s="92">
        <v>13339833.5</v>
      </c>
      <c r="I78" s="92">
        <v>113376.69153505797</v>
      </c>
    </row>
    <row r="79" spans="1:9" x14ac:dyDescent="0.3">
      <c r="A79" s="92" t="s">
        <v>91</v>
      </c>
      <c r="B79" s="92">
        <v>0</v>
      </c>
      <c r="C79" s="92">
        <v>0</v>
      </c>
      <c r="D79" s="92">
        <v>0</v>
      </c>
      <c r="E79" s="92">
        <v>0</v>
      </c>
      <c r="F79" s="92">
        <v>0</v>
      </c>
      <c r="G79" s="92">
        <v>0</v>
      </c>
      <c r="H79" s="92">
        <v>0</v>
      </c>
      <c r="I79" s="92">
        <v>0</v>
      </c>
    </row>
    <row r="80" spans="1:9" x14ac:dyDescent="0.3">
      <c r="A80" s="92" t="s">
        <v>92</v>
      </c>
      <c r="B80" s="92">
        <v>0</v>
      </c>
      <c r="C80" s="92">
        <v>0</v>
      </c>
      <c r="D80" s="92">
        <v>0</v>
      </c>
      <c r="E80" s="92">
        <v>0</v>
      </c>
      <c r="F80" s="92">
        <v>0</v>
      </c>
      <c r="G80" s="92">
        <v>0</v>
      </c>
      <c r="H80" s="92">
        <v>0</v>
      </c>
      <c r="I80" s="92">
        <v>0</v>
      </c>
    </row>
    <row r="81" spans="1:9" x14ac:dyDescent="0.3">
      <c r="A81" s="92" t="s">
        <v>93</v>
      </c>
      <c r="B81" s="92">
        <v>0</v>
      </c>
      <c r="C81" s="92">
        <v>0</v>
      </c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</row>
    <row r="82" spans="1:9" x14ac:dyDescent="0.3">
      <c r="A82" s="92" t="s">
        <v>94</v>
      </c>
      <c r="B82" s="92">
        <v>0</v>
      </c>
      <c r="C82" s="92">
        <v>10250333.5</v>
      </c>
      <c r="D82" s="92">
        <v>0</v>
      </c>
      <c r="E82" s="92">
        <v>10250333.5</v>
      </c>
      <c r="F82" s="92">
        <v>87118.695998789728</v>
      </c>
      <c r="G82" s="92">
        <v>0</v>
      </c>
      <c r="H82" s="92">
        <v>10250333.5</v>
      </c>
      <c r="I82" s="92">
        <v>87118.695998789728</v>
      </c>
    </row>
    <row r="83" spans="1:9" x14ac:dyDescent="0.3">
      <c r="A83" s="92" t="s">
        <v>77</v>
      </c>
      <c r="B83" s="92">
        <v>250</v>
      </c>
      <c r="C83" s="92">
        <v>567612211</v>
      </c>
      <c r="D83" s="92">
        <v>1277447780.9999995</v>
      </c>
      <c r="E83" s="92">
        <v>1845059991.9999995</v>
      </c>
      <c r="F83" s="92">
        <v>15681364.956816029</v>
      </c>
      <c r="G83" s="92">
        <v>362932203</v>
      </c>
      <c r="H83" s="92">
        <v>2207992195</v>
      </c>
      <c r="I83" s="92">
        <v>18765965.107760195</v>
      </c>
    </row>
    <row r="85" spans="1:9" x14ac:dyDescent="0.3">
      <c r="A85" s="92" t="s">
        <v>63</v>
      </c>
      <c r="C85" s="93">
        <f>C63-C39</f>
        <v>1281291.5</v>
      </c>
      <c r="D85" s="93">
        <f t="shared" ref="D85:H85" si="29">D63-D39</f>
        <v>-1998817.560000062</v>
      </c>
      <c r="E85" s="93">
        <f t="shared" si="29"/>
        <v>-717526.06000006199</v>
      </c>
      <c r="F85" s="93">
        <f t="shared" si="29"/>
        <v>-6098.3317949948832</v>
      </c>
      <c r="G85" s="93">
        <f t="shared" si="29"/>
        <v>0</v>
      </c>
      <c r="H85" s="93">
        <f t="shared" si="29"/>
        <v>-717526.05999994278</v>
      </c>
      <c r="I85" s="93">
        <f>I63-I39</f>
        <v>-6098.3317949958146</v>
      </c>
    </row>
    <row r="86" spans="1:9" x14ac:dyDescent="0.3">
      <c r="A86" s="92" t="s">
        <v>64</v>
      </c>
      <c r="C86" s="93">
        <f t="shared" ref="C86:I86" si="30">C64-C40</f>
        <v>1281291.5</v>
      </c>
      <c r="D86" s="93">
        <f t="shared" si="30"/>
        <v>24272788.544</v>
      </c>
      <c r="E86" s="93">
        <f t="shared" si="30"/>
        <v>25554080.044</v>
      </c>
      <c r="F86" s="93">
        <f t="shared" si="30"/>
        <v>217186.89746845537</v>
      </c>
      <c r="G86" s="93">
        <f t="shared" si="30"/>
        <v>0</v>
      </c>
      <c r="H86" s="93">
        <f t="shared" si="30"/>
        <v>25554080.044</v>
      </c>
      <c r="I86" s="93">
        <f t="shared" si="30"/>
        <v>217186.8974684556</v>
      </c>
    </row>
    <row r="87" spans="1:9" x14ac:dyDescent="0.3">
      <c r="A87" s="92" t="s">
        <v>84</v>
      </c>
      <c r="C87" s="93">
        <f t="shared" ref="C87:I87" si="31">C65-C41</f>
        <v>1281291.5</v>
      </c>
      <c r="D87" s="93">
        <f t="shared" si="31"/>
        <v>9840319.6799999997</v>
      </c>
      <c r="E87" s="93">
        <f t="shared" si="31"/>
        <v>11121611.179999992</v>
      </c>
      <c r="F87" s="93">
        <f t="shared" si="31"/>
        <v>94523.77948553185</v>
      </c>
      <c r="G87" s="93">
        <f t="shared" si="31"/>
        <v>0</v>
      </c>
      <c r="H87" s="93">
        <f t="shared" si="31"/>
        <v>11121611.179999992</v>
      </c>
      <c r="I87" s="93">
        <f t="shared" si="31"/>
        <v>94523.779485531966</v>
      </c>
    </row>
    <row r="88" spans="1:9" x14ac:dyDescent="0.3">
      <c r="A88" s="92" t="s">
        <v>66</v>
      </c>
      <c r="C88" s="93">
        <f t="shared" ref="C88:I88" si="32">C66-C42</f>
        <v>1281291.5</v>
      </c>
      <c r="D88" s="93">
        <f t="shared" si="32"/>
        <v>6560213.120000001</v>
      </c>
      <c r="E88" s="93">
        <f t="shared" si="32"/>
        <v>7841504.6199999899</v>
      </c>
      <c r="F88" s="93">
        <f t="shared" si="32"/>
        <v>66645.798125776579</v>
      </c>
      <c r="G88" s="93">
        <f t="shared" si="32"/>
        <v>0</v>
      </c>
      <c r="H88" s="93">
        <f t="shared" si="32"/>
        <v>7841504.6199999899</v>
      </c>
      <c r="I88" s="93">
        <f t="shared" si="32"/>
        <v>66645.798125776579</v>
      </c>
    </row>
    <row r="89" spans="1:9" x14ac:dyDescent="0.3">
      <c r="A89" s="92" t="s">
        <v>67</v>
      </c>
      <c r="C89" s="93">
        <f t="shared" ref="C89:I89" si="33">C67-C43</f>
        <v>1281291.5</v>
      </c>
      <c r="D89" s="93">
        <f t="shared" si="33"/>
        <v>6560213.120000001</v>
      </c>
      <c r="E89" s="93">
        <f t="shared" si="33"/>
        <v>7841504.6199999899</v>
      </c>
      <c r="F89" s="93">
        <f t="shared" si="33"/>
        <v>66645.798125776579</v>
      </c>
      <c r="G89" s="93">
        <f t="shared" si="33"/>
        <v>0</v>
      </c>
      <c r="H89" s="93">
        <f t="shared" si="33"/>
        <v>7841504.6199999899</v>
      </c>
      <c r="I89" s="93">
        <f t="shared" si="33"/>
        <v>66645.798125776579</v>
      </c>
    </row>
    <row r="90" spans="1:9" x14ac:dyDescent="0.3">
      <c r="A90" s="92" t="s">
        <v>65</v>
      </c>
      <c r="C90" s="93">
        <f t="shared" ref="C90:I90" si="34">C68-C44</f>
        <v>1281291.5</v>
      </c>
      <c r="D90" s="93">
        <f t="shared" si="34"/>
        <v>7872255.743999999</v>
      </c>
      <c r="E90" s="93">
        <f t="shared" si="34"/>
        <v>9153547.2440000027</v>
      </c>
      <c r="F90" s="93">
        <f t="shared" si="34"/>
        <v>77796.990669678664</v>
      </c>
      <c r="G90" s="93">
        <f t="shared" si="34"/>
        <v>0</v>
      </c>
      <c r="H90" s="93">
        <f t="shared" si="34"/>
        <v>9153547.2440000027</v>
      </c>
      <c r="I90" s="93">
        <f t="shared" si="34"/>
        <v>77796.99066967878</v>
      </c>
    </row>
    <row r="91" spans="1:9" x14ac:dyDescent="0.3">
      <c r="A91" s="92" t="s">
        <v>68</v>
      </c>
      <c r="C91" s="93">
        <f t="shared" ref="C91:I91" si="35">C69-C45</f>
        <v>1281291.5</v>
      </c>
      <c r="D91" s="93">
        <f t="shared" si="35"/>
        <v>0</v>
      </c>
      <c r="E91" s="93">
        <f t="shared" si="35"/>
        <v>1281291.5</v>
      </c>
      <c r="F91" s="93">
        <f t="shared" si="35"/>
        <v>10889.835406265804</v>
      </c>
      <c r="G91" s="93">
        <f t="shared" si="35"/>
        <v>0</v>
      </c>
      <c r="H91" s="93">
        <f t="shared" si="35"/>
        <v>1281291.5</v>
      </c>
      <c r="I91" s="93">
        <f t="shared" si="35"/>
        <v>10889.835406265804</v>
      </c>
    </row>
    <row r="92" spans="1:9" x14ac:dyDescent="0.3">
      <c r="A92" s="92" t="s">
        <v>69</v>
      </c>
      <c r="C92" s="93">
        <f t="shared" ref="C92:I92" si="36">C70-C46</f>
        <v>0</v>
      </c>
      <c r="D92" s="93">
        <f t="shared" si="36"/>
        <v>0</v>
      </c>
      <c r="E92" s="93">
        <f t="shared" si="36"/>
        <v>0</v>
      </c>
      <c r="F92" s="93">
        <f t="shared" si="36"/>
        <v>0</v>
      </c>
      <c r="G92" s="93">
        <f t="shared" si="36"/>
        <v>0</v>
      </c>
      <c r="H92" s="93">
        <f t="shared" si="36"/>
        <v>0</v>
      </c>
      <c r="I92" s="93">
        <f t="shared" si="36"/>
        <v>0</v>
      </c>
    </row>
    <row r="93" spans="1:9" x14ac:dyDescent="0.3">
      <c r="A93" s="92" t="s">
        <v>83</v>
      </c>
      <c r="C93" s="93">
        <f t="shared" ref="C93:I93" si="37">C71-C47</f>
        <v>-10250333.5</v>
      </c>
      <c r="D93" s="93">
        <f t="shared" si="37"/>
        <v>20992681.983999997</v>
      </c>
      <c r="E93" s="93">
        <f t="shared" si="37"/>
        <v>10742348.483999997</v>
      </c>
      <c r="F93" s="93">
        <f t="shared" si="37"/>
        <v>91300.384703644551</v>
      </c>
      <c r="G93" s="93">
        <f t="shared" si="37"/>
        <v>0</v>
      </c>
      <c r="H93" s="93">
        <f t="shared" si="37"/>
        <v>10742348.483999997</v>
      </c>
      <c r="I93" s="93">
        <f t="shared" si="37"/>
        <v>91300.384703644551</v>
      </c>
    </row>
    <row r="94" spans="1:9" x14ac:dyDescent="0.3">
      <c r="A94" s="92" t="s">
        <v>85</v>
      </c>
      <c r="C94" s="93">
        <f t="shared" ref="C94:I94" si="38">C72-C48</f>
        <v>-10250333.5</v>
      </c>
      <c r="D94" s="93">
        <f t="shared" si="38"/>
        <v>3936127.8719999995</v>
      </c>
      <c r="E94" s="93">
        <f t="shared" si="38"/>
        <v>-6314205.6280000024</v>
      </c>
      <c r="F94" s="93">
        <f t="shared" si="38"/>
        <v>-53665.118367083283</v>
      </c>
      <c r="G94" s="93">
        <f t="shared" si="38"/>
        <v>0</v>
      </c>
      <c r="H94" s="93">
        <f t="shared" si="38"/>
        <v>-6314205.6279999986</v>
      </c>
      <c r="I94" s="93">
        <f t="shared" si="38"/>
        <v>-53665.118367083254</v>
      </c>
    </row>
    <row r="95" spans="1:9" x14ac:dyDescent="0.3">
      <c r="A95" s="92" t="s">
        <v>95</v>
      </c>
      <c r="C95" s="93">
        <f t="shared" ref="C95:I95" si="39">C73-C49</f>
        <v>-10250333.5</v>
      </c>
      <c r="D95" s="93">
        <f t="shared" si="39"/>
        <v>1968063.9359999998</v>
      </c>
      <c r="E95" s="93">
        <f t="shared" si="39"/>
        <v>-8282269.5639999993</v>
      </c>
      <c r="F95" s="93">
        <f t="shared" si="39"/>
        <v>-70391.907182936528</v>
      </c>
      <c r="G95" s="93">
        <f t="shared" si="39"/>
        <v>0</v>
      </c>
      <c r="H95" s="93">
        <f t="shared" si="39"/>
        <v>-8282269.5639999993</v>
      </c>
      <c r="I95" s="93">
        <f t="shared" si="39"/>
        <v>-70391.907182936528</v>
      </c>
    </row>
    <row r="96" spans="1:9" x14ac:dyDescent="0.3">
      <c r="A96" s="92" t="s">
        <v>86</v>
      </c>
      <c r="C96" s="93">
        <f t="shared" ref="C96:I96" si="40">C74-C50</f>
        <v>-10250333.5</v>
      </c>
      <c r="D96" s="93">
        <f t="shared" si="40"/>
        <v>1312042.6239999998</v>
      </c>
      <c r="E96" s="93">
        <f t="shared" si="40"/>
        <v>-8938290.8759999983</v>
      </c>
      <c r="F96" s="93">
        <f t="shared" si="40"/>
        <v>-75967.50345488757</v>
      </c>
      <c r="G96" s="93">
        <f t="shared" si="40"/>
        <v>0</v>
      </c>
      <c r="H96" s="93">
        <f t="shared" si="40"/>
        <v>-8938290.8759999983</v>
      </c>
      <c r="I96" s="93">
        <f t="shared" si="40"/>
        <v>-75967.50345488757</v>
      </c>
    </row>
    <row r="97" spans="1:9" x14ac:dyDescent="0.3">
      <c r="A97" s="92" t="s">
        <v>87</v>
      </c>
      <c r="C97" s="93">
        <f t="shared" ref="C97:I97" si="41">C75-C51</f>
        <v>-10250333.5</v>
      </c>
      <c r="D97" s="93">
        <f t="shared" si="41"/>
        <v>1312042.6239999998</v>
      </c>
      <c r="E97" s="93">
        <f t="shared" si="41"/>
        <v>-8938290.8759999983</v>
      </c>
      <c r="F97" s="93">
        <f t="shared" si="41"/>
        <v>-75967.50345488757</v>
      </c>
      <c r="G97" s="93">
        <f t="shared" si="41"/>
        <v>0</v>
      </c>
      <c r="H97" s="93">
        <f t="shared" si="41"/>
        <v>-8938290.8759999983</v>
      </c>
      <c r="I97" s="93">
        <f t="shared" si="41"/>
        <v>-75967.50345488757</v>
      </c>
    </row>
    <row r="98" spans="1:9" x14ac:dyDescent="0.3">
      <c r="A98" s="92" t="s">
        <v>88</v>
      </c>
      <c r="C98" s="93">
        <f t="shared" ref="C98:I98" si="42">C76-C52</f>
        <v>-10250333.5</v>
      </c>
      <c r="D98" s="93">
        <f t="shared" si="42"/>
        <v>656021.31199999992</v>
      </c>
      <c r="E98" s="93">
        <f t="shared" si="42"/>
        <v>-9594312.1879999992</v>
      </c>
      <c r="F98" s="93">
        <f t="shared" si="42"/>
        <v>-81543.099726838642</v>
      </c>
      <c r="G98" s="93">
        <f t="shared" si="42"/>
        <v>0</v>
      </c>
      <c r="H98" s="93">
        <f t="shared" si="42"/>
        <v>-9594312.188000001</v>
      </c>
      <c r="I98" s="93">
        <f t="shared" si="42"/>
        <v>-81543.099726838642</v>
      </c>
    </row>
    <row r="99" spans="1:9" x14ac:dyDescent="0.3">
      <c r="A99" s="92" t="s">
        <v>89</v>
      </c>
      <c r="C99" s="93">
        <f t="shared" ref="C99:I99" si="43">C77-C53</f>
        <v>-10250333.5</v>
      </c>
      <c r="D99" s="93">
        <f t="shared" si="43"/>
        <v>0</v>
      </c>
      <c r="E99" s="93">
        <f t="shared" si="43"/>
        <v>-10250333.5</v>
      </c>
      <c r="F99" s="93">
        <f t="shared" si="43"/>
        <v>-87118.695998789728</v>
      </c>
      <c r="G99" s="93">
        <f t="shared" si="43"/>
        <v>0</v>
      </c>
      <c r="H99" s="93">
        <f t="shared" si="43"/>
        <v>-10250333.5</v>
      </c>
      <c r="I99" s="93">
        <f t="shared" si="43"/>
        <v>-87118.695998789743</v>
      </c>
    </row>
    <row r="100" spans="1:9" x14ac:dyDescent="0.3">
      <c r="A100" s="92" t="s">
        <v>90</v>
      </c>
      <c r="C100" s="93">
        <f t="shared" ref="C100:I100" si="44">C78-C54</f>
        <v>-10250333.5</v>
      </c>
      <c r="D100" s="93">
        <f t="shared" si="44"/>
        <v>0</v>
      </c>
      <c r="E100" s="93">
        <f t="shared" si="44"/>
        <v>-10250333.5</v>
      </c>
      <c r="F100" s="93">
        <f t="shared" si="44"/>
        <v>-87118.695998789728</v>
      </c>
      <c r="G100" s="93">
        <f t="shared" si="44"/>
        <v>0</v>
      </c>
      <c r="H100" s="93">
        <f t="shared" si="44"/>
        <v>-10250333.5</v>
      </c>
      <c r="I100" s="93">
        <f t="shared" si="44"/>
        <v>-87118.695998789713</v>
      </c>
    </row>
    <row r="101" spans="1:9" x14ac:dyDescent="0.3">
      <c r="A101" s="92" t="s">
        <v>91</v>
      </c>
      <c r="C101" s="93">
        <f t="shared" ref="C101:I101" si="45">C79-C55</f>
        <v>0</v>
      </c>
      <c r="D101" s="93">
        <f t="shared" si="45"/>
        <v>0</v>
      </c>
      <c r="E101" s="93">
        <f t="shared" si="45"/>
        <v>0</v>
      </c>
      <c r="F101" s="93">
        <f t="shared" si="45"/>
        <v>0</v>
      </c>
      <c r="G101" s="93">
        <f t="shared" si="45"/>
        <v>0</v>
      </c>
      <c r="H101" s="93">
        <f t="shared" si="45"/>
        <v>0</v>
      </c>
      <c r="I101" s="93">
        <f t="shared" si="45"/>
        <v>0</v>
      </c>
    </row>
    <row r="102" spans="1:9" x14ac:dyDescent="0.3">
      <c r="A102" s="92" t="s">
        <v>92</v>
      </c>
      <c r="C102" s="93">
        <f t="shared" ref="C102:I102" si="46">C80-C56</f>
        <v>0</v>
      </c>
      <c r="D102" s="93">
        <f t="shared" si="46"/>
        <v>0</v>
      </c>
      <c r="E102" s="93">
        <f t="shared" si="46"/>
        <v>0</v>
      </c>
      <c r="F102" s="93">
        <f t="shared" si="46"/>
        <v>0</v>
      </c>
      <c r="G102" s="93">
        <f t="shared" si="46"/>
        <v>0</v>
      </c>
      <c r="H102" s="93">
        <f t="shared" si="46"/>
        <v>0</v>
      </c>
      <c r="I102" s="93">
        <f t="shared" si="46"/>
        <v>0</v>
      </c>
    </row>
    <row r="103" spans="1:9" x14ac:dyDescent="0.3">
      <c r="A103" s="92" t="s">
        <v>93</v>
      </c>
      <c r="C103" s="93">
        <f t="shared" ref="C103:I103" si="47">C81-C57</f>
        <v>0</v>
      </c>
      <c r="D103" s="93">
        <f t="shared" si="47"/>
        <v>0</v>
      </c>
      <c r="E103" s="93">
        <f t="shared" si="47"/>
        <v>0</v>
      </c>
      <c r="F103" s="93">
        <f t="shared" si="47"/>
        <v>0</v>
      </c>
      <c r="G103" s="93">
        <f t="shared" si="47"/>
        <v>0</v>
      </c>
      <c r="H103" s="93">
        <f t="shared" si="47"/>
        <v>0</v>
      </c>
      <c r="I103" s="93">
        <f t="shared" si="47"/>
        <v>0</v>
      </c>
    </row>
    <row r="104" spans="1:9" x14ac:dyDescent="0.3">
      <c r="A104" s="92" t="s">
        <v>94</v>
      </c>
      <c r="C104" s="93">
        <f t="shared" ref="C104:I104" si="48">C82-C58</f>
        <v>-10250333.5</v>
      </c>
      <c r="D104" s="93">
        <f t="shared" si="48"/>
        <v>0</v>
      </c>
      <c r="E104" s="93">
        <f t="shared" si="48"/>
        <v>-10250333.5</v>
      </c>
      <c r="F104" s="93">
        <f t="shared" si="48"/>
        <v>-87118.695998789728</v>
      </c>
      <c r="G104" s="93">
        <f t="shared" si="48"/>
        <v>0</v>
      </c>
      <c r="H104" s="93">
        <f t="shared" si="48"/>
        <v>-10250333.5</v>
      </c>
      <c r="I104" s="93">
        <f t="shared" si="48"/>
        <v>-87118.695998789728</v>
      </c>
    </row>
    <row r="105" spans="1:9" x14ac:dyDescent="0.3">
      <c r="A105" s="92" t="s">
        <v>77</v>
      </c>
      <c r="C105" s="93">
        <f t="shared" ref="C105:I105" si="49">C83-C59</f>
        <v>-83283961</v>
      </c>
      <c r="D105" s="93">
        <f t="shared" si="49"/>
        <v>83283952.999999285</v>
      </c>
      <c r="E105" s="93">
        <f t="shared" si="49"/>
        <v>-8.0000004768371582</v>
      </c>
      <c r="F105" s="93">
        <f t="shared" si="49"/>
        <v>-6.7992869764566422E-2</v>
      </c>
      <c r="G105" s="93">
        <f t="shared" si="49"/>
        <v>0</v>
      </c>
      <c r="H105" s="93">
        <f t="shared" si="49"/>
        <v>-8</v>
      </c>
      <c r="I105" s="93">
        <f t="shared" si="49"/>
        <v>-6.799287348985672E-2</v>
      </c>
    </row>
    <row r="106" spans="1:9" x14ac:dyDescent="0.3">
      <c r="C106" s="93"/>
      <c r="D106" s="93"/>
      <c r="E106" s="93"/>
      <c r="F106" s="93"/>
      <c r="G106" s="93"/>
      <c r="H106" s="93"/>
      <c r="I106" s="93"/>
    </row>
  </sheetData>
  <mergeCells count="1">
    <mergeCell ref="A37:I3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7D4F-7680-4F09-A98A-B883EF1598F4}">
  <dimension ref="A2:D16"/>
  <sheetViews>
    <sheetView workbookViewId="0">
      <selection activeCell="P11" sqref="P11"/>
    </sheetView>
  </sheetViews>
  <sheetFormatPr defaultColWidth="8.88671875" defaultRowHeight="14.4" x14ac:dyDescent="0.3"/>
  <cols>
    <col min="1" max="2" width="8.88671875" style="79"/>
    <col min="3" max="3" width="20" style="79" customWidth="1"/>
    <col min="4" max="4" width="13.33203125" style="79" customWidth="1"/>
    <col min="5" max="16384" width="8.88671875" style="79"/>
  </cols>
  <sheetData>
    <row r="2" spans="1:4" x14ac:dyDescent="0.3">
      <c r="A2" s="79">
        <v>1</v>
      </c>
      <c r="B2" s="79" t="s">
        <v>63</v>
      </c>
      <c r="C2" s="1">
        <v>910224089.70000005</v>
      </c>
    </row>
    <row r="3" spans="1:4" x14ac:dyDescent="0.3">
      <c r="A3" s="79">
        <v>2</v>
      </c>
      <c r="B3" s="79" t="s">
        <v>83</v>
      </c>
      <c r="C3" s="1">
        <v>137818990.5</v>
      </c>
    </row>
    <row r="4" spans="1:4" x14ac:dyDescent="0.3">
      <c r="A4" s="79">
        <v>3</v>
      </c>
      <c r="B4" s="79" t="s">
        <v>151</v>
      </c>
      <c r="C4" s="1">
        <v>45939665.5</v>
      </c>
    </row>
    <row r="5" spans="1:4" x14ac:dyDescent="0.3">
      <c r="A5" s="79">
        <v>4</v>
      </c>
      <c r="B5" s="79" t="s">
        <v>85</v>
      </c>
      <c r="C5" s="1">
        <v>51984357</v>
      </c>
    </row>
    <row r="6" spans="1:4" x14ac:dyDescent="0.3">
      <c r="A6" s="79">
        <v>5</v>
      </c>
      <c r="B6" s="79" t="s">
        <v>87</v>
      </c>
      <c r="C6" s="1">
        <v>17865427</v>
      </c>
    </row>
    <row r="7" spans="1:4" x14ac:dyDescent="0.3">
      <c r="A7" s="79">
        <v>6</v>
      </c>
      <c r="B7" s="79" t="s">
        <v>131</v>
      </c>
      <c r="C7" s="1">
        <v>34969757</v>
      </c>
    </row>
    <row r="8" spans="1:4" x14ac:dyDescent="0.3">
      <c r="A8" s="79">
        <v>7</v>
      </c>
      <c r="B8" s="79" t="s">
        <v>152</v>
      </c>
      <c r="C8" s="1">
        <v>23238483</v>
      </c>
    </row>
    <row r="9" spans="1:4" x14ac:dyDescent="0.3">
      <c r="A9" s="79">
        <v>8</v>
      </c>
      <c r="B9" s="79" t="s">
        <v>153</v>
      </c>
      <c r="C9" s="1">
        <v>30000000</v>
      </c>
    </row>
    <row r="10" spans="1:4" x14ac:dyDescent="0.3">
      <c r="A10" s="79">
        <v>9</v>
      </c>
      <c r="B10" s="79" t="s">
        <v>154</v>
      </c>
      <c r="C10" s="1">
        <v>34060000</v>
      </c>
    </row>
    <row r="11" spans="1:4" x14ac:dyDescent="0.3">
      <c r="A11" s="79">
        <v>10</v>
      </c>
      <c r="B11" s="79" t="s">
        <v>155</v>
      </c>
      <c r="C11" s="1">
        <v>6395000</v>
      </c>
    </row>
    <row r="12" spans="1:4" x14ac:dyDescent="0.3">
      <c r="C12" s="129">
        <f>SUM(C2:C11)</f>
        <v>1292495769.7</v>
      </c>
    </row>
    <row r="13" spans="1:4" ht="27.6" customHeight="1" x14ac:dyDescent="0.3">
      <c r="C13" s="129"/>
    </row>
    <row r="14" spans="1:4" x14ac:dyDescent="0.3">
      <c r="C14" s="1">
        <v>1226715000</v>
      </c>
    </row>
    <row r="15" spans="1:4" x14ac:dyDescent="0.3">
      <c r="C15" s="1">
        <f>C12-C14</f>
        <v>65780769.700000048</v>
      </c>
    </row>
    <row r="16" spans="1:4" x14ac:dyDescent="0.3">
      <c r="C16" s="1">
        <v>1343265000</v>
      </c>
      <c r="D16" s="1">
        <f>C16-C12</f>
        <v>50769230.299999952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45EC-281B-41FE-8706-5759B1878E5F}">
  <dimension ref="A1:T61"/>
  <sheetViews>
    <sheetView workbookViewId="0">
      <selection activeCell="N22" sqref="N22"/>
    </sheetView>
  </sheetViews>
  <sheetFormatPr defaultColWidth="9.109375" defaultRowHeight="14.4" x14ac:dyDescent="0.3"/>
  <cols>
    <col min="1" max="1" width="24.5546875" style="171" customWidth="1"/>
    <col min="2" max="2" width="21.6640625" style="171" customWidth="1"/>
    <col min="3" max="3" width="57.109375" style="171" customWidth="1"/>
    <col min="4" max="5" width="37.6640625" style="171" customWidth="1"/>
    <col min="6" max="6" width="22.44140625" style="171" customWidth="1"/>
    <col min="7" max="7" width="18.5546875" style="171" customWidth="1"/>
    <col min="8" max="8" width="27.6640625" style="171" customWidth="1"/>
    <col min="9" max="9" width="15.44140625" style="171" bestFit="1" customWidth="1"/>
    <col min="10" max="10" width="15.44140625" style="171" customWidth="1"/>
    <col min="11" max="11" width="15.44140625" style="171" bestFit="1" customWidth="1"/>
    <col min="12" max="12" width="12.6640625" style="171" bestFit="1" customWidth="1"/>
    <col min="13" max="13" width="21" style="171" customWidth="1"/>
    <col min="14" max="15" width="17.88671875" style="171" customWidth="1"/>
    <col min="16" max="16" width="45.33203125" style="171" customWidth="1"/>
    <col min="17" max="17" width="12.109375" style="171" customWidth="1"/>
    <col min="18" max="18" width="12" style="171" bestFit="1" customWidth="1"/>
    <col min="19" max="19" width="21" style="171" customWidth="1"/>
    <col min="20" max="16384" width="9.109375" style="171"/>
  </cols>
  <sheetData>
    <row r="1" spans="1:8" x14ac:dyDescent="0.3">
      <c r="A1" s="211" t="s">
        <v>129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24">
        <v>1154600000000</v>
      </c>
      <c r="B3" s="25">
        <f>A3/117.647</f>
        <v>9814104907.052454</v>
      </c>
      <c r="C3" s="32" t="s">
        <v>197</v>
      </c>
      <c r="D3" s="171" t="s">
        <v>196</v>
      </c>
    </row>
    <row r="4" spans="1:8" ht="15.6" x14ac:dyDescent="0.3">
      <c r="A4" s="24">
        <f>A3/10000*10.5</f>
        <v>1212330000</v>
      </c>
      <c r="B4" s="25">
        <f t="shared" ref="B4:B6" si="0">A4/117.647</f>
        <v>10304810.152405076</v>
      </c>
      <c r="C4" s="26" t="s">
        <v>114</v>
      </c>
      <c r="D4" s="176"/>
      <c r="E4" s="172"/>
      <c r="F4" s="173" t="s">
        <v>175</v>
      </c>
      <c r="G4" s="173" t="s">
        <v>176</v>
      </c>
      <c r="H4" s="173" t="s">
        <v>177</v>
      </c>
    </row>
    <row r="5" spans="1:8" ht="15.6" x14ac:dyDescent="0.3">
      <c r="A5" s="97">
        <f>G27</f>
        <v>2861214.9000000004</v>
      </c>
      <c r="B5" s="98">
        <f>A5</f>
        <v>2861214.9000000004</v>
      </c>
      <c r="C5" s="23" t="s">
        <v>122</v>
      </c>
      <c r="E5" s="173" t="s">
        <v>178</v>
      </c>
      <c r="F5" s="176" t="s">
        <v>179</v>
      </c>
      <c r="G5" s="176" t="s">
        <v>180</v>
      </c>
      <c r="H5" s="176" t="s">
        <v>181</v>
      </c>
    </row>
    <row r="6" spans="1:8" ht="15.6" x14ac:dyDescent="0.3">
      <c r="A6" s="27">
        <f>A4/A5</f>
        <v>423.71161984372435</v>
      </c>
      <c r="B6" s="28">
        <f t="shared" si="0"/>
        <v>3.6015505694469416</v>
      </c>
      <c r="C6" s="29" t="s">
        <v>123</v>
      </c>
      <c r="E6" s="174" t="s">
        <v>182</v>
      </c>
      <c r="F6" s="175" t="s">
        <v>183</v>
      </c>
      <c r="G6" s="175" t="s">
        <v>184</v>
      </c>
      <c r="H6" s="175" t="s">
        <v>185</v>
      </c>
    </row>
    <row r="7" spans="1:8" ht="16.2" thickBot="1" x14ac:dyDescent="0.35">
      <c r="A7" s="8"/>
      <c r="B7" s="9"/>
      <c r="C7" s="7"/>
      <c r="E7" s="177" t="s">
        <v>186</v>
      </c>
      <c r="F7" s="176" t="s">
        <v>187</v>
      </c>
      <c r="G7" s="176" t="s">
        <v>188</v>
      </c>
      <c r="H7" s="176" t="s">
        <v>188</v>
      </c>
    </row>
    <row r="8" spans="1:8" x14ac:dyDescent="0.3">
      <c r="A8" s="3"/>
      <c r="B8" s="3"/>
      <c r="C8" s="43"/>
    </row>
    <row r="17" spans="1:20" x14ac:dyDescent="0.3">
      <c r="N17" s="130" t="s">
        <v>150</v>
      </c>
      <c r="O17" s="130"/>
    </row>
    <row r="18" spans="1:20" ht="15" thickBot="1" x14ac:dyDescent="0.35">
      <c r="N18" s="130"/>
      <c r="O18" s="130"/>
    </row>
    <row r="19" spans="1:20" ht="50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78" t="s">
        <v>120</v>
      </c>
      <c r="M19" s="161" t="s">
        <v>204</v>
      </c>
      <c r="N19" s="160" t="s">
        <v>172</v>
      </c>
      <c r="O19" s="160" t="s">
        <v>192</v>
      </c>
      <c r="P19" s="161" t="s">
        <v>173</v>
      </c>
      <c r="Q19" s="177" t="s">
        <v>174</v>
      </c>
    </row>
    <row r="20" spans="1:20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423.71161984372435</v>
      </c>
      <c r="I20" s="2">
        <f>G20*H20</f>
        <v>860775748.70590806</v>
      </c>
      <c r="J20" s="2">
        <f>I20/12</f>
        <v>71731312.392159</v>
      </c>
      <c r="K20" s="2">
        <f>I20*4</f>
        <v>3443102994.8236322</v>
      </c>
      <c r="L20" s="179">
        <f>K20/117.6</f>
        <v>29278086.690677147</v>
      </c>
      <c r="M20" s="181">
        <f>J20*3+'2020 stari saziv i zakon '!J20+9*'2021 stari saziv i zakon 1rb'!J20</f>
        <v>936153889.46929491</v>
      </c>
      <c r="N20" s="162">
        <f>S20+S27+S28</f>
        <v>974284089.70000005</v>
      </c>
      <c r="O20" s="162">
        <f>N20-M20</f>
        <v>38130200.230705142</v>
      </c>
      <c r="P20" s="2">
        <f t="shared" ref="P20:P26" si="1">I20-N20</f>
        <v>-113508340.99409199</v>
      </c>
      <c r="Q20" s="172">
        <f t="shared" ref="Q20:Q26" si="2">P20/N20</f>
        <v>-0.1165043565773955</v>
      </c>
      <c r="R20" s="171">
        <f>J20*13</f>
        <v>932507061.09806705</v>
      </c>
      <c r="S20" s="1">
        <v>910224089.70000005</v>
      </c>
      <c r="T20" s="171" t="s">
        <v>63</v>
      </c>
    </row>
    <row r="21" spans="1:20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423.71161984372435</v>
      </c>
      <c r="I21" s="2">
        <f t="shared" ref="I21:I26" si="5">G21*H21</f>
        <v>174504867.95172215</v>
      </c>
      <c r="J21" s="2">
        <f t="shared" ref="J21:J27" si="6">I21/12</f>
        <v>14542072.329310179</v>
      </c>
      <c r="K21" s="2">
        <f t="shared" ref="K21:K27" si="7">I21*4</f>
        <v>698019471.80688858</v>
      </c>
      <c r="L21" s="179">
        <f t="shared" ref="L21:L27" si="8">K21/117.6</f>
        <v>5935539.7262490531</v>
      </c>
      <c r="M21" s="181">
        <f>J21*3+'2020 stari saziv i zakon '!J21+9*'2021 stari saziv i zakon 1rb'!J21</f>
        <v>189786260.95116097</v>
      </c>
      <c r="N21" s="162">
        <f>S21+S22</f>
        <v>183758656</v>
      </c>
      <c r="O21" s="162">
        <f t="shared" ref="O21:O27" si="9">N21-M21</f>
        <v>-6027604.9511609674</v>
      </c>
      <c r="P21" s="2">
        <f t="shared" si="1"/>
        <v>-9253788.0482778549</v>
      </c>
      <c r="Q21" s="172">
        <f t="shared" si="2"/>
        <v>-5.0358379026661224E-2</v>
      </c>
      <c r="R21" s="171">
        <f t="shared" ref="R21:R27" si="10">J21*13</f>
        <v>189046940.28103232</v>
      </c>
      <c r="S21" s="1">
        <v>137818990.5</v>
      </c>
      <c r="T21" s="171" t="s">
        <v>83</v>
      </c>
    </row>
    <row r="22" spans="1:20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423.71161984372435</v>
      </c>
      <c r="I22" s="2">
        <f t="shared" si="5"/>
        <v>45692849.228137314</v>
      </c>
      <c r="J22" s="2">
        <f t="shared" si="6"/>
        <v>3807737.4356781095</v>
      </c>
      <c r="K22" s="2">
        <f t="shared" si="7"/>
        <v>182771396.91254926</v>
      </c>
      <c r="L22" s="179">
        <f t="shared" si="8"/>
        <v>1554178.5451747386</v>
      </c>
      <c r="M22" s="181">
        <f>J22*3+'2020 stari saziv i zakon '!J22+9*'2021 stari saziv i zakon 1rb'!J22</f>
        <v>49694172.483557589</v>
      </c>
      <c r="N22" s="162">
        <v>51984357</v>
      </c>
      <c r="O22" s="162">
        <f t="shared" si="9"/>
        <v>2290184.5164424106</v>
      </c>
      <c r="P22" s="2">
        <f t="shared" si="1"/>
        <v>-6291507.7718626857</v>
      </c>
      <c r="Q22" s="172">
        <f t="shared" si="2"/>
        <v>-0.12102694223692496</v>
      </c>
      <c r="R22" s="171">
        <f t="shared" si="10"/>
        <v>49500586.663815424</v>
      </c>
      <c r="S22" s="1">
        <v>45939665.5</v>
      </c>
      <c r="T22" s="171" t="s">
        <v>151</v>
      </c>
    </row>
    <row r="23" spans="1:20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423.71161984372435</v>
      </c>
      <c r="I23" s="2">
        <f t="shared" si="5"/>
        <v>20446204.21555892</v>
      </c>
      <c r="J23" s="2">
        <f t="shared" si="6"/>
        <v>1703850.3512965767</v>
      </c>
      <c r="K23" s="2">
        <f t="shared" si="7"/>
        <v>81784816.86223568</v>
      </c>
      <c r="L23" s="179">
        <f t="shared" si="8"/>
        <v>695449.12297819462</v>
      </c>
      <c r="M23" s="181">
        <f>J23*3+'2020 stari saziv i zakon '!J23+9*'2021 stari saziv i zakon 1rb'!J23</f>
        <v>22236678.519411456</v>
      </c>
      <c r="N23" s="162">
        <v>23238483</v>
      </c>
      <c r="O23" s="162">
        <f t="shared" si="9"/>
        <v>1001804.4805885442</v>
      </c>
      <c r="P23" s="2">
        <f t="shared" si="1"/>
        <v>-2792278.7844410799</v>
      </c>
      <c r="Q23" s="172">
        <f t="shared" si="2"/>
        <v>-0.12015753284932927</v>
      </c>
      <c r="R23" s="171">
        <f t="shared" si="10"/>
        <v>22150054.566855498</v>
      </c>
      <c r="S23" s="1">
        <v>51984357</v>
      </c>
      <c r="T23" s="171" t="s">
        <v>85</v>
      </c>
    </row>
    <row r="24" spans="1:20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423.71161984372435</v>
      </c>
      <c r="I24" s="2">
        <f t="shared" si="5"/>
        <v>78424571.861065015</v>
      </c>
      <c r="J24" s="2">
        <f t="shared" si="6"/>
        <v>6535380.9884220846</v>
      </c>
      <c r="K24" s="2">
        <f t="shared" si="7"/>
        <v>313698287.44426006</v>
      </c>
      <c r="L24" s="179">
        <f t="shared" si="8"/>
        <v>2667502.4442539122</v>
      </c>
      <c r="M24" s="181">
        <f>J24*3+'2020 stari saziv i zakon '!J24+1*'2021 stari saziv i zakon 1rb'!J24</f>
        <v>32388795.733457483</v>
      </c>
      <c r="N24" s="162">
        <v>34969757</v>
      </c>
      <c r="O24" s="162">
        <f t="shared" si="9"/>
        <v>2580961.2665425166</v>
      </c>
      <c r="P24" s="2">
        <f t="shared" si="1"/>
        <v>43454814.861065015</v>
      </c>
      <c r="Q24" s="172">
        <f t="shared" si="2"/>
        <v>1.242639886261292</v>
      </c>
      <c r="R24" s="171">
        <f t="shared" si="10"/>
        <v>84959952.849487096</v>
      </c>
      <c r="S24" s="1">
        <v>17865427</v>
      </c>
      <c r="T24" s="171" t="s">
        <v>87</v>
      </c>
    </row>
    <row r="25" spans="1:20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1">C25*1.5</f>
        <v>37014</v>
      </c>
      <c r="F25" s="2">
        <v>0</v>
      </c>
      <c r="G25" s="2">
        <f t="shared" si="4"/>
        <v>37014</v>
      </c>
      <c r="H25" s="2">
        <f>A6</f>
        <v>423.71161984372435</v>
      </c>
      <c r="I25" s="2">
        <f t="shared" si="5"/>
        <v>15683261.896895614</v>
      </c>
      <c r="J25" s="2">
        <f t="shared" si="6"/>
        <v>1306938.4914079679</v>
      </c>
      <c r="K25" s="2">
        <f t="shared" si="7"/>
        <v>62733047.587582454</v>
      </c>
      <c r="L25" s="179">
        <f t="shared" si="8"/>
        <v>533444.28220733383</v>
      </c>
      <c r="M25" s="181">
        <f>J25*3+'2020 stari saziv i zakon '!J25+9*'2021 stari saziv i zakon 1rb'!J25</f>
        <v>17056645.295150667</v>
      </c>
      <c r="N25" s="162">
        <v>17865427</v>
      </c>
      <c r="O25" s="162">
        <f t="shared" si="9"/>
        <v>808781.70484933257</v>
      </c>
      <c r="P25" s="2">
        <f t="shared" si="1"/>
        <v>-2182165.1031043865</v>
      </c>
      <c r="Q25" s="172">
        <f t="shared" si="2"/>
        <v>-0.12214458143678214</v>
      </c>
      <c r="R25" s="171">
        <f t="shared" si="10"/>
        <v>16990200.388303582</v>
      </c>
      <c r="S25" s="1">
        <v>34969757</v>
      </c>
      <c r="T25" s="171" t="s">
        <v>131</v>
      </c>
    </row>
    <row r="26" spans="1:20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1"/>
        <v>39655.5</v>
      </c>
      <c r="F26" s="2">
        <v>0</v>
      </c>
      <c r="G26" s="2">
        <f t="shared" si="4"/>
        <v>39655.5</v>
      </c>
      <c r="H26" s="2">
        <f>A6</f>
        <v>423.71161984372435</v>
      </c>
      <c r="I26" s="2">
        <f t="shared" si="5"/>
        <v>16802496.140712813</v>
      </c>
      <c r="J26" s="2">
        <f t="shared" si="6"/>
        <v>1400208.0117260676</v>
      </c>
      <c r="K26" s="2">
        <f t="shared" si="7"/>
        <v>67209984.56285125</v>
      </c>
      <c r="L26" s="179">
        <f t="shared" si="8"/>
        <v>571513.47417390521</v>
      </c>
      <c r="M26" s="181">
        <f>J26*3+'2020 stari saziv i zakon '!J26+9*'2021 stari saziv i zakon 1rb'!J26</f>
        <v>18273890.892685127</v>
      </c>
      <c r="N26" s="162">
        <f>S29+S30+S31</f>
        <v>15770250.439999998</v>
      </c>
      <c r="O26" s="162">
        <f t="shared" si="9"/>
        <v>-2503640.4526851289</v>
      </c>
      <c r="P26" s="2">
        <f t="shared" si="1"/>
        <v>1032245.7007128149</v>
      </c>
      <c r="Q26" s="172">
        <f t="shared" si="2"/>
        <v>6.5455250989204655E-2</v>
      </c>
      <c r="R26" s="171">
        <f t="shared" si="10"/>
        <v>18202704.152438879</v>
      </c>
      <c r="S26" s="1">
        <v>23238483</v>
      </c>
      <c r="T26" s="171" t="s">
        <v>152</v>
      </c>
    </row>
    <row r="27" spans="1:20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1212329999.9999998</v>
      </c>
      <c r="J27" s="123">
        <f t="shared" si="6"/>
        <v>101027499.99999999</v>
      </c>
      <c r="K27" s="123">
        <f t="shared" si="7"/>
        <v>4849319999.999999</v>
      </c>
      <c r="L27" s="180">
        <f t="shared" si="8"/>
        <v>41235714.285714276</v>
      </c>
      <c r="M27" s="181">
        <f>J27*3+'2020 stari saziv i zakon '!J27+9*'2021 stari saziv i zakon 1rb'!J27</f>
        <v>1318493750</v>
      </c>
      <c r="N27" s="162">
        <f>SUM(N20:N26)</f>
        <v>1301871020.1400001</v>
      </c>
      <c r="O27" s="162">
        <f t="shared" si="9"/>
        <v>-16622729.859999895</v>
      </c>
      <c r="P27" s="2">
        <f>I27-N27</f>
        <v>-89541020.140000343</v>
      </c>
      <c r="Q27" s="172">
        <f>P27/N27</f>
        <v>-6.8778718286832533E-2</v>
      </c>
      <c r="R27" s="171">
        <f t="shared" si="10"/>
        <v>1313357499.9999998</v>
      </c>
      <c r="S27" s="1">
        <v>30000000</v>
      </c>
      <c r="T27" s="171" t="s">
        <v>153</v>
      </c>
    </row>
    <row r="28" spans="1:20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S28" s="1">
        <v>34060000</v>
      </c>
      <c r="T28" s="171" t="s">
        <v>154</v>
      </c>
    </row>
    <row r="29" spans="1:20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S29" s="1">
        <v>6395000</v>
      </c>
      <c r="T29" s="171" t="s">
        <v>155</v>
      </c>
    </row>
    <row r="30" spans="1:20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S30" s="171">
        <v>4254424.72</v>
      </c>
      <c r="T30" s="171" t="s">
        <v>199</v>
      </c>
    </row>
    <row r="31" spans="1:20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S31" s="182">
        <v>5120825.72</v>
      </c>
      <c r="T31" s="171" t="s">
        <v>200</v>
      </c>
    </row>
    <row r="32" spans="1:20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171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7506-ED91-4B29-966A-AF26E3896550}">
  <dimension ref="A1:T61"/>
  <sheetViews>
    <sheetView workbookViewId="0">
      <selection activeCell="A26" sqref="A26"/>
    </sheetView>
  </sheetViews>
  <sheetFormatPr defaultColWidth="9.109375" defaultRowHeight="14.4" x14ac:dyDescent="0.3"/>
  <cols>
    <col min="1" max="1" width="24.5546875" style="171" customWidth="1"/>
    <col min="2" max="2" width="21.6640625" style="171" customWidth="1"/>
    <col min="3" max="3" width="57.109375" style="171" customWidth="1"/>
    <col min="4" max="5" width="37.6640625" style="171" customWidth="1"/>
    <col min="6" max="6" width="22.44140625" style="171" customWidth="1"/>
    <col min="7" max="7" width="18.5546875" style="171" customWidth="1"/>
    <col min="8" max="8" width="27.6640625" style="171" customWidth="1"/>
    <col min="9" max="9" width="15.44140625" style="171" bestFit="1" customWidth="1"/>
    <col min="10" max="10" width="15.44140625" style="171" customWidth="1"/>
    <col min="11" max="11" width="15.44140625" style="171" bestFit="1" customWidth="1"/>
    <col min="12" max="12" width="12.6640625" style="171" bestFit="1" customWidth="1"/>
    <col min="13" max="13" width="21" style="171" customWidth="1"/>
    <col min="14" max="15" width="17.88671875" style="171" customWidth="1"/>
    <col min="16" max="16" width="45.33203125" style="171" customWidth="1"/>
    <col min="17" max="17" width="12.109375" style="171" customWidth="1"/>
    <col min="18" max="18" width="12" style="171" bestFit="1" customWidth="1"/>
    <col min="19" max="19" width="21" style="171" customWidth="1"/>
    <col min="20" max="16384" width="9.109375" style="171"/>
  </cols>
  <sheetData>
    <row r="1" spans="1:8" x14ac:dyDescent="0.3">
      <c r="A1" s="211" t="s">
        <v>129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24">
        <v>1154600000000</v>
      </c>
      <c r="B3" s="25">
        <f>A3/117.647</f>
        <v>9814104907.052454</v>
      </c>
      <c r="C3" s="32" t="s">
        <v>197</v>
      </c>
      <c r="D3" s="171" t="s">
        <v>196</v>
      </c>
    </row>
    <row r="4" spans="1:8" ht="15.6" x14ac:dyDescent="0.3">
      <c r="A4" s="24">
        <f>A3/10000*10.5</f>
        <v>1212330000</v>
      </c>
      <c r="B4" s="25">
        <f t="shared" ref="B4:B6" si="0">A4/117.647</f>
        <v>10304810.152405076</v>
      </c>
      <c r="C4" s="26" t="s">
        <v>114</v>
      </c>
      <c r="D4" s="176"/>
      <c r="E4" s="172"/>
      <c r="F4" s="173" t="s">
        <v>175</v>
      </c>
      <c r="G4" s="173" t="s">
        <v>176</v>
      </c>
      <c r="H4" s="173" t="s">
        <v>177</v>
      </c>
    </row>
    <row r="5" spans="1:8" ht="15.6" x14ac:dyDescent="0.3">
      <c r="A5" s="97">
        <f>G27</f>
        <v>2861214.9000000004</v>
      </c>
      <c r="B5" s="98">
        <f>A5</f>
        <v>2861214.9000000004</v>
      </c>
      <c r="C5" s="23" t="s">
        <v>122</v>
      </c>
      <c r="E5" s="173" t="s">
        <v>178</v>
      </c>
      <c r="F5" s="176" t="s">
        <v>179</v>
      </c>
      <c r="G5" s="176" t="s">
        <v>180</v>
      </c>
      <c r="H5" s="176" t="s">
        <v>181</v>
      </c>
    </row>
    <row r="6" spans="1:8" ht="15.6" x14ac:dyDescent="0.3">
      <c r="A6" s="27">
        <f>A4/A5</f>
        <v>423.71161984372435</v>
      </c>
      <c r="B6" s="28">
        <f t="shared" si="0"/>
        <v>3.6015505694469416</v>
      </c>
      <c r="C6" s="29" t="s">
        <v>123</v>
      </c>
      <c r="E6" s="174" t="s">
        <v>182</v>
      </c>
      <c r="F6" s="175" t="s">
        <v>183</v>
      </c>
      <c r="G6" s="175" t="s">
        <v>184</v>
      </c>
      <c r="H6" s="175" t="s">
        <v>185</v>
      </c>
    </row>
    <row r="7" spans="1:8" ht="16.2" thickBot="1" x14ac:dyDescent="0.35">
      <c r="A7" s="8"/>
      <c r="B7" s="9"/>
      <c r="C7" s="7"/>
      <c r="E7" s="177" t="s">
        <v>186</v>
      </c>
      <c r="F7" s="176" t="s">
        <v>187</v>
      </c>
      <c r="G7" s="176" t="s">
        <v>188</v>
      </c>
      <c r="H7" s="176" t="s">
        <v>188</v>
      </c>
    </row>
    <row r="8" spans="1:8" x14ac:dyDescent="0.3">
      <c r="A8" s="3"/>
      <c r="B8" s="3"/>
      <c r="C8" s="43"/>
    </row>
    <row r="17" spans="1:20" x14ac:dyDescent="0.3">
      <c r="N17" s="130" t="s">
        <v>150</v>
      </c>
      <c r="O17" s="130"/>
    </row>
    <row r="18" spans="1:20" ht="15" thickBot="1" x14ac:dyDescent="0.35">
      <c r="N18" s="130"/>
      <c r="O18" s="130"/>
    </row>
    <row r="19" spans="1:20" ht="50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78" t="s">
        <v>120</v>
      </c>
      <c r="M19" s="161" t="s">
        <v>198</v>
      </c>
      <c r="N19" s="160" t="s">
        <v>172</v>
      </c>
      <c r="O19" s="160" t="s">
        <v>192</v>
      </c>
      <c r="P19" s="161" t="s">
        <v>173</v>
      </c>
      <c r="Q19" s="177" t="s">
        <v>174</v>
      </c>
    </row>
    <row r="20" spans="1:20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423.71161984372435</v>
      </c>
      <c r="I20" s="2">
        <f>G20*H20</f>
        <v>860775748.70590806</v>
      </c>
      <c r="J20" s="2">
        <f>I20/12</f>
        <v>71731312.392159</v>
      </c>
      <c r="K20" s="2">
        <f>I20*4</f>
        <v>3443102994.8236322</v>
      </c>
      <c r="L20" s="179">
        <f>K20/117.6</f>
        <v>29278086.690677147</v>
      </c>
      <c r="M20" s="181">
        <f>J20*3+'2020 stari saziv i zakon '!J20+8*'2021 stari saziv i zakon 1rb'!J20</f>
        <v>863571443.36868918</v>
      </c>
      <c r="N20" s="162">
        <f>S20+S27+S28</f>
        <v>974284089.70000005</v>
      </c>
      <c r="O20" s="162">
        <f>N20-M20</f>
        <v>110712646.33131087</v>
      </c>
      <c r="P20" s="2">
        <f t="shared" ref="P20:P26" si="1">I20-N20</f>
        <v>-113508340.99409199</v>
      </c>
      <c r="Q20" s="172">
        <f t="shared" ref="Q20:Q26" si="2">P20/N20</f>
        <v>-0.1165043565773955</v>
      </c>
      <c r="R20" s="171">
        <f>J20*13</f>
        <v>932507061.09806705</v>
      </c>
      <c r="S20" s="1">
        <v>910224089.70000005</v>
      </c>
      <c r="T20" s="171" t="s">
        <v>63</v>
      </c>
    </row>
    <row r="21" spans="1:20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423.71161984372435</v>
      </c>
      <c r="I21" s="2">
        <f t="shared" ref="I21:I26" si="5">G21*H21</f>
        <v>174504867.95172215</v>
      </c>
      <c r="J21" s="2">
        <f t="shared" ref="J21:J27" si="6">I21/12</f>
        <v>14542072.329310179</v>
      </c>
      <c r="K21" s="2">
        <f t="shared" ref="K21:K27" si="7">I21*4</f>
        <v>698019471.80688858</v>
      </c>
      <c r="L21" s="179">
        <f t="shared" ref="L21:L27" si="8">K21/117.6</f>
        <v>5935539.7262490531</v>
      </c>
      <c r="M21" s="181">
        <f>J21*3+'2020 stari saziv i zakon '!J21+8*'2021 stari saziv i zakon 1rb'!J21</f>
        <v>175071638.48248518</v>
      </c>
      <c r="N21" s="162">
        <f>S21+S22</f>
        <v>183758656</v>
      </c>
      <c r="O21" s="162">
        <f t="shared" ref="O21:O27" si="9">N21-M21</f>
        <v>8687017.5175148249</v>
      </c>
      <c r="P21" s="2">
        <f t="shared" si="1"/>
        <v>-9253788.0482778549</v>
      </c>
      <c r="Q21" s="172">
        <f t="shared" si="2"/>
        <v>-5.0358379026661224E-2</v>
      </c>
      <c r="R21" s="171">
        <f t="shared" ref="R21:R27" si="10">J21*13</f>
        <v>189046940.28103232</v>
      </c>
      <c r="S21" s="1">
        <v>137818990.5</v>
      </c>
      <c r="T21" s="171" t="s">
        <v>83</v>
      </c>
    </row>
    <row r="22" spans="1:20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423.71161984372435</v>
      </c>
      <c r="I22" s="2">
        <f t="shared" si="5"/>
        <v>45692849.228137314</v>
      </c>
      <c r="J22" s="2">
        <f t="shared" si="6"/>
        <v>3807737.4356781095</v>
      </c>
      <c r="K22" s="2">
        <f t="shared" si="7"/>
        <v>182771396.91254926</v>
      </c>
      <c r="L22" s="179">
        <f t="shared" si="8"/>
        <v>1554178.5451747386</v>
      </c>
      <c r="M22" s="181">
        <f>J22*3+'2020 stari saziv i zakon '!J22+8*'2021 stari saziv i zakon 1rb'!J22</f>
        <v>45841254.03032466</v>
      </c>
      <c r="N22" s="162">
        <v>51984357</v>
      </c>
      <c r="O22" s="162">
        <f t="shared" si="9"/>
        <v>6143102.9696753398</v>
      </c>
      <c r="P22" s="2">
        <f t="shared" si="1"/>
        <v>-6291507.7718626857</v>
      </c>
      <c r="Q22" s="172">
        <f t="shared" si="2"/>
        <v>-0.12102694223692496</v>
      </c>
      <c r="R22" s="171">
        <f t="shared" si="10"/>
        <v>49500586.663815424</v>
      </c>
      <c r="S22" s="1">
        <v>45939665.5</v>
      </c>
      <c r="T22" s="171" t="s">
        <v>151</v>
      </c>
    </row>
    <row r="23" spans="1:20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423.71161984372435</v>
      </c>
      <c r="I23" s="2">
        <f t="shared" si="5"/>
        <v>20446204.21555892</v>
      </c>
      <c r="J23" s="2">
        <f t="shared" si="6"/>
        <v>1703850.3512965767</v>
      </c>
      <c r="K23" s="2">
        <f t="shared" si="7"/>
        <v>81784816.86223568</v>
      </c>
      <c r="L23" s="179">
        <f t="shared" si="8"/>
        <v>695449.12297819462</v>
      </c>
      <c r="M23" s="181">
        <f>J23*3+'2020 stari saziv i zakon '!J23+8*'2021 stari saziv i zakon 1rb'!J23</f>
        <v>20512610.993497901</v>
      </c>
      <c r="N23" s="162">
        <v>23238483</v>
      </c>
      <c r="O23" s="162">
        <f t="shared" si="9"/>
        <v>2725872.0065020993</v>
      </c>
      <c r="P23" s="2">
        <f t="shared" si="1"/>
        <v>-2792278.7844410799</v>
      </c>
      <c r="Q23" s="172">
        <f t="shared" si="2"/>
        <v>-0.12015753284932927</v>
      </c>
      <c r="R23" s="171">
        <f t="shared" si="10"/>
        <v>22150054.566855498</v>
      </c>
      <c r="S23" s="1">
        <v>51984357</v>
      </c>
      <c r="T23" s="171" t="s">
        <v>85</v>
      </c>
    </row>
    <row r="24" spans="1:20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423.71161984372435</v>
      </c>
      <c r="I24" s="2">
        <f t="shared" si="5"/>
        <v>78424571.861065015</v>
      </c>
      <c r="J24" s="2">
        <f t="shared" si="6"/>
        <v>6535380.9884220846</v>
      </c>
      <c r="K24" s="2">
        <f t="shared" si="7"/>
        <v>313698287.44426006</v>
      </c>
      <c r="L24" s="179">
        <f t="shared" si="8"/>
        <v>2667502.4442539122</v>
      </c>
      <c r="M24" s="181">
        <f>J24*3+'2020 stari saziv i zakon '!J24+1*'2021 stari saziv i zakon 1rb'!J24</f>
        <v>32388795.733457483</v>
      </c>
      <c r="N24" s="162">
        <v>34969757</v>
      </c>
      <c r="O24" s="162">
        <f t="shared" si="9"/>
        <v>2580961.2665425166</v>
      </c>
      <c r="P24" s="2">
        <f t="shared" si="1"/>
        <v>43454814.861065015</v>
      </c>
      <c r="Q24" s="172">
        <f t="shared" si="2"/>
        <v>1.242639886261292</v>
      </c>
      <c r="R24" s="171">
        <f t="shared" si="10"/>
        <v>84959952.849487096</v>
      </c>
      <c r="S24" s="1">
        <v>17865427</v>
      </c>
      <c r="T24" s="171" t="s">
        <v>87</v>
      </c>
    </row>
    <row r="25" spans="1:20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1">C25*1.5</f>
        <v>37014</v>
      </c>
      <c r="F25" s="2">
        <v>0</v>
      </c>
      <c r="G25" s="2">
        <f t="shared" si="4"/>
        <v>37014</v>
      </c>
      <c r="H25" s="2">
        <f>A6</f>
        <v>423.71161984372435</v>
      </c>
      <c r="I25" s="2">
        <f t="shared" si="5"/>
        <v>15683261.896895614</v>
      </c>
      <c r="J25" s="2">
        <f t="shared" si="6"/>
        <v>1306938.4914079679</v>
      </c>
      <c r="K25" s="2">
        <f t="shared" si="7"/>
        <v>62733047.587582454</v>
      </c>
      <c r="L25" s="179">
        <f t="shared" si="8"/>
        <v>533444.28220733383</v>
      </c>
      <c r="M25" s="181">
        <f>J25*3+'2020 stari saziv i zakon '!J25+8*'2021 stari saziv i zakon 1rb'!J25</f>
        <v>15734199.219010076</v>
      </c>
      <c r="N25" s="162">
        <v>17865427</v>
      </c>
      <c r="O25" s="162">
        <f t="shared" si="9"/>
        <v>2131227.7809899244</v>
      </c>
      <c r="P25" s="2">
        <f t="shared" si="1"/>
        <v>-2182165.1031043865</v>
      </c>
      <c r="Q25" s="172">
        <f t="shared" si="2"/>
        <v>-0.12214458143678214</v>
      </c>
      <c r="R25" s="171">
        <f t="shared" si="10"/>
        <v>16990200.388303582</v>
      </c>
      <c r="S25" s="1">
        <v>34969757</v>
      </c>
      <c r="T25" s="171" t="s">
        <v>131</v>
      </c>
    </row>
    <row r="26" spans="1:20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1"/>
        <v>39655.5</v>
      </c>
      <c r="F26" s="2">
        <v>0</v>
      </c>
      <c r="G26" s="2">
        <f t="shared" si="4"/>
        <v>39655.5</v>
      </c>
      <c r="H26" s="2">
        <f>A6</f>
        <v>423.71161984372435</v>
      </c>
      <c r="I26" s="2">
        <f t="shared" si="5"/>
        <v>16802496.140712813</v>
      </c>
      <c r="J26" s="2">
        <f t="shared" si="6"/>
        <v>1400208.0117260676</v>
      </c>
      <c r="K26" s="2">
        <f t="shared" si="7"/>
        <v>67209984.56285125</v>
      </c>
      <c r="L26" s="179">
        <f t="shared" si="8"/>
        <v>571513.47417390521</v>
      </c>
      <c r="M26" s="181">
        <f>J26*3+'2020 stari saziv i zakon '!J26+8*'2021 stari saziv i zakon 1rb'!J26</f>
        <v>16857068.599163938</v>
      </c>
      <c r="N26" s="162">
        <f>S29+S30+S31</f>
        <v>15770250.439999998</v>
      </c>
      <c r="O26" s="162">
        <f t="shared" si="9"/>
        <v>-1086818.1591639407</v>
      </c>
      <c r="P26" s="2">
        <f t="shared" si="1"/>
        <v>1032245.7007128149</v>
      </c>
      <c r="Q26" s="172">
        <f t="shared" si="2"/>
        <v>6.5455250989204655E-2</v>
      </c>
      <c r="R26" s="171">
        <f t="shared" si="10"/>
        <v>18202704.152438879</v>
      </c>
      <c r="S26" s="1">
        <v>23238483</v>
      </c>
      <c r="T26" s="171" t="s">
        <v>152</v>
      </c>
    </row>
    <row r="27" spans="1:20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1212329999.9999998</v>
      </c>
      <c r="J27" s="123">
        <f t="shared" si="6"/>
        <v>101027499.99999999</v>
      </c>
      <c r="K27" s="123">
        <f t="shared" si="7"/>
        <v>4849319999.999999</v>
      </c>
      <c r="L27" s="180">
        <f t="shared" si="8"/>
        <v>41235714.285714276</v>
      </c>
      <c r="M27" s="181">
        <f>J27*3+'2020 stari saziv i zakon '!J27+8*'2021 stari saziv i zakon 1rb'!J27</f>
        <v>1216267500</v>
      </c>
      <c r="N27" s="162">
        <f>SUM(N20:N26)</f>
        <v>1301871020.1400001</v>
      </c>
      <c r="O27" s="162">
        <f t="shared" si="9"/>
        <v>85603520.140000105</v>
      </c>
      <c r="P27" s="2">
        <f>I27-N27</f>
        <v>-89541020.140000343</v>
      </c>
      <c r="Q27" s="172">
        <f>P27/N27</f>
        <v>-6.8778718286832533E-2</v>
      </c>
      <c r="R27" s="171">
        <f t="shared" si="10"/>
        <v>1313357499.9999998</v>
      </c>
      <c r="S27" s="1">
        <v>30000000</v>
      </c>
      <c r="T27" s="171" t="s">
        <v>153</v>
      </c>
    </row>
    <row r="28" spans="1:20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S28" s="1">
        <v>34060000</v>
      </c>
      <c r="T28" s="171" t="s">
        <v>154</v>
      </c>
    </row>
    <row r="29" spans="1:20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S29" s="1">
        <v>6395000</v>
      </c>
      <c r="T29" s="171" t="s">
        <v>155</v>
      </c>
    </row>
    <row r="30" spans="1:20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S30" s="171">
        <v>4254424.72</v>
      </c>
      <c r="T30" s="171" t="s">
        <v>199</v>
      </c>
    </row>
    <row r="31" spans="1:20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S31" s="182">
        <v>5120825.72</v>
      </c>
      <c r="T31" s="171" t="s">
        <v>200</v>
      </c>
    </row>
    <row r="32" spans="1:20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171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5CA3-2CA6-488C-BAEF-FC4C99EE73A7}">
  <dimension ref="A1:T61"/>
  <sheetViews>
    <sheetView topLeftCell="A19" workbookViewId="0">
      <selection activeCell="M27" sqref="M27"/>
    </sheetView>
  </sheetViews>
  <sheetFormatPr defaultColWidth="9.109375" defaultRowHeight="14.4" x14ac:dyDescent="0.3"/>
  <cols>
    <col min="1" max="1" width="24.5546875" style="171" customWidth="1"/>
    <col min="2" max="2" width="21.6640625" style="171" customWidth="1"/>
    <col min="3" max="3" width="57.109375" style="171" customWidth="1"/>
    <col min="4" max="5" width="37.6640625" style="171" customWidth="1"/>
    <col min="6" max="6" width="22.44140625" style="171" customWidth="1"/>
    <col min="7" max="7" width="18.5546875" style="171" customWidth="1"/>
    <col min="8" max="8" width="27.6640625" style="171" customWidth="1"/>
    <col min="9" max="9" width="15.44140625" style="171" bestFit="1" customWidth="1"/>
    <col min="10" max="10" width="15.44140625" style="171" customWidth="1"/>
    <col min="11" max="11" width="15.44140625" style="171" bestFit="1" customWidth="1"/>
    <col min="12" max="12" width="12.6640625" style="171" bestFit="1" customWidth="1"/>
    <col min="13" max="13" width="21" style="171" customWidth="1"/>
    <col min="14" max="15" width="17.88671875" style="171" customWidth="1"/>
    <col min="16" max="16" width="45.33203125" style="171" customWidth="1"/>
    <col min="17" max="17" width="12.109375" style="171" customWidth="1"/>
    <col min="18" max="18" width="12" style="171" bestFit="1" customWidth="1"/>
    <col min="19" max="19" width="21" style="171" customWidth="1"/>
    <col min="20" max="16384" width="9.109375" style="171"/>
  </cols>
  <sheetData>
    <row r="1" spans="1:8" x14ac:dyDescent="0.3">
      <c r="A1" s="211" t="s">
        <v>129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24">
        <v>1154600000000</v>
      </c>
      <c r="B3" s="25">
        <f>A3/117.647</f>
        <v>9814104907.052454</v>
      </c>
      <c r="C3" s="32" t="s">
        <v>197</v>
      </c>
      <c r="D3" s="171" t="s">
        <v>196</v>
      </c>
    </row>
    <row r="4" spans="1:8" ht="15.6" x14ac:dyDescent="0.3">
      <c r="A4" s="24">
        <f>A3/10000*10.5</f>
        <v>1212330000</v>
      </c>
      <c r="B4" s="25">
        <f t="shared" ref="B4:B6" si="0">A4/117.647</f>
        <v>10304810.152405076</v>
      </c>
      <c r="C4" s="26" t="s">
        <v>114</v>
      </c>
      <c r="D4" s="176"/>
      <c r="E4" s="172"/>
      <c r="F4" s="173" t="s">
        <v>175</v>
      </c>
      <c r="G4" s="173" t="s">
        <v>176</v>
      </c>
      <c r="H4" s="173" t="s">
        <v>177</v>
      </c>
    </row>
    <row r="5" spans="1:8" ht="15.6" x14ac:dyDescent="0.3">
      <c r="A5" s="97">
        <f>G27</f>
        <v>2861214.9000000004</v>
      </c>
      <c r="B5" s="98">
        <f>A5</f>
        <v>2861214.9000000004</v>
      </c>
      <c r="C5" s="23" t="s">
        <v>122</v>
      </c>
      <c r="E5" s="173" t="s">
        <v>178</v>
      </c>
      <c r="F5" s="176" t="s">
        <v>179</v>
      </c>
      <c r="G5" s="176" t="s">
        <v>180</v>
      </c>
      <c r="H5" s="176" t="s">
        <v>181</v>
      </c>
    </row>
    <row r="6" spans="1:8" ht="15.6" x14ac:dyDescent="0.3">
      <c r="A6" s="27">
        <f>A4/A5</f>
        <v>423.71161984372435</v>
      </c>
      <c r="B6" s="28">
        <f t="shared" si="0"/>
        <v>3.6015505694469416</v>
      </c>
      <c r="C6" s="29" t="s">
        <v>123</v>
      </c>
      <c r="E6" s="174" t="s">
        <v>182</v>
      </c>
      <c r="F6" s="175" t="s">
        <v>183</v>
      </c>
      <c r="G6" s="175" t="s">
        <v>184</v>
      </c>
      <c r="H6" s="175" t="s">
        <v>185</v>
      </c>
    </row>
    <row r="7" spans="1:8" ht="16.2" thickBot="1" x14ac:dyDescent="0.35">
      <c r="A7" s="8"/>
      <c r="B7" s="9"/>
      <c r="C7" s="7"/>
      <c r="E7" s="177" t="s">
        <v>186</v>
      </c>
      <c r="F7" s="176" t="s">
        <v>187</v>
      </c>
      <c r="G7" s="176" t="s">
        <v>188</v>
      </c>
      <c r="H7" s="176" t="s">
        <v>188</v>
      </c>
    </row>
    <row r="8" spans="1:8" x14ac:dyDescent="0.3">
      <c r="A8" s="3"/>
      <c r="B8" s="3"/>
      <c r="C8" s="43"/>
    </row>
    <row r="17" spans="1:20" x14ac:dyDescent="0.3">
      <c r="N17" s="130" t="s">
        <v>150</v>
      </c>
      <c r="O17" s="130"/>
    </row>
    <row r="18" spans="1:20" ht="15" thickBot="1" x14ac:dyDescent="0.35">
      <c r="N18" s="130"/>
      <c r="O18" s="130"/>
    </row>
    <row r="19" spans="1:20" ht="44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78" t="s">
        <v>120</v>
      </c>
      <c r="M19" s="161" t="s">
        <v>191</v>
      </c>
      <c r="N19" s="160" t="s">
        <v>172</v>
      </c>
      <c r="O19" s="160" t="s">
        <v>192</v>
      </c>
      <c r="P19" s="161" t="s">
        <v>173</v>
      </c>
      <c r="Q19" s="177" t="s">
        <v>174</v>
      </c>
    </row>
    <row r="20" spans="1:20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423.71161984372435</v>
      </c>
      <c r="I20" s="2">
        <f>G20*H20</f>
        <v>860775748.70590806</v>
      </c>
      <c r="J20" s="2">
        <f>I20/12</f>
        <v>71731312.392159</v>
      </c>
      <c r="K20" s="2">
        <f>I20*4</f>
        <v>3443102994.8236322</v>
      </c>
      <c r="L20" s="179">
        <f>K20/117.6</f>
        <v>29278086.690677147</v>
      </c>
      <c r="M20" s="181">
        <f>J20*11+'2020 stari saziv i zakon '!J20</f>
        <v>856762373.70111537</v>
      </c>
      <c r="N20" s="162">
        <f>S20+S27+S28</f>
        <v>974284089.70000005</v>
      </c>
      <c r="O20" s="162">
        <f>N20-M20</f>
        <v>117521715.99888468</v>
      </c>
      <c r="P20" s="2">
        <f t="shared" ref="P20:P26" si="1">I20-N20</f>
        <v>-113508340.99409199</v>
      </c>
      <c r="Q20" s="172">
        <f t="shared" ref="Q20:Q26" si="2">P20/N20</f>
        <v>-0.1165043565773955</v>
      </c>
      <c r="R20" s="171">
        <f>J20*13</f>
        <v>932507061.09806705</v>
      </c>
      <c r="S20" s="1">
        <v>910224089.70000005</v>
      </c>
      <c r="T20" s="171" t="s">
        <v>63</v>
      </c>
    </row>
    <row r="21" spans="1:20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423.71161984372435</v>
      </c>
      <c r="I21" s="2">
        <f t="shared" ref="I21:I26" si="5">G21*H21</f>
        <v>174504867.95172215</v>
      </c>
      <c r="J21" s="2">
        <f t="shared" ref="J21:J27" si="6">I21/12</f>
        <v>14542072.329310179</v>
      </c>
      <c r="K21" s="2">
        <f t="shared" ref="K21:K27" si="7">I21*4</f>
        <v>698019471.80688858</v>
      </c>
      <c r="L21" s="179">
        <f t="shared" ref="L21:L27" si="8">K21/117.6</f>
        <v>5935539.7262490531</v>
      </c>
      <c r="M21" s="181">
        <f>J21*11+'2020 stari saziv i zakon '!J21</f>
        <v>173691237.36756015</v>
      </c>
      <c r="N21" s="162">
        <f>S21+S22</f>
        <v>183758656</v>
      </c>
      <c r="O21" s="162">
        <f t="shared" ref="O21:O27" si="9">N21-M21</f>
        <v>10067418.632439852</v>
      </c>
      <c r="P21" s="2">
        <f t="shared" si="1"/>
        <v>-9253788.0482778549</v>
      </c>
      <c r="Q21" s="172">
        <f t="shared" si="2"/>
        <v>-5.0358379026661224E-2</v>
      </c>
      <c r="R21" s="171">
        <f t="shared" ref="R21:R27" si="10">J21*13</f>
        <v>189046940.28103232</v>
      </c>
      <c r="S21" s="1">
        <v>137818990.5</v>
      </c>
      <c r="T21" s="171" t="s">
        <v>83</v>
      </c>
    </row>
    <row r="22" spans="1:20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423.71161984372435</v>
      </c>
      <c r="I22" s="2">
        <f t="shared" si="5"/>
        <v>45692849.228137314</v>
      </c>
      <c r="J22" s="2">
        <f t="shared" si="6"/>
        <v>3807737.4356781095</v>
      </c>
      <c r="K22" s="2">
        <f t="shared" si="7"/>
        <v>182771396.91254926</v>
      </c>
      <c r="L22" s="179">
        <f t="shared" si="8"/>
        <v>1554178.5451747386</v>
      </c>
      <c r="M22" s="181">
        <f>J22*11+'2020 stari saziv i zakon '!J22</f>
        <v>45479805.889886141</v>
      </c>
      <c r="N22" s="162">
        <v>51984357</v>
      </c>
      <c r="O22" s="162">
        <f t="shared" si="9"/>
        <v>6504551.1101138592</v>
      </c>
      <c r="P22" s="2">
        <f t="shared" si="1"/>
        <v>-6291507.7718626857</v>
      </c>
      <c r="Q22" s="172">
        <f t="shared" si="2"/>
        <v>-0.12102694223692496</v>
      </c>
      <c r="R22" s="171">
        <f t="shared" si="10"/>
        <v>49500586.663815424</v>
      </c>
      <c r="S22" s="1">
        <v>45939665.5</v>
      </c>
      <c r="T22" s="171" t="s">
        <v>151</v>
      </c>
    </row>
    <row r="23" spans="1:20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423.71161984372435</v>
      </c>
      <c r="I23" s="2">
        <f t="shared" si="5"/>
        <v>20446204.21555892</v>
      </c>
      <c r="J23" s="2">
        <f t="shared" si="6"/>
        <v>1703850.3512965767</v>
      </c>
      <c r="K23" s="2">
        <f t="shared" si="7"/>
        <v>81784816.86223568</v>
      </c>
      <c r="L23" s="179">
        <f t="shared" si="8"/>
        <v>695449.12297819462</v>
      </c>
      <c r="M23" s="181">
        <f>J23*11+'2020 stari saziv i zakon '!J23</f>
        <v>20350873.596562073</v>
      </c>
      <c r="N23" s="162">
        <v>23238483</v>
      </c>
      <c r="O23" s="162">
        <f t="shared" si="9"/>
        <v>2887609.4034379274</v>
      </c>
      <c r="P23" s="2">
        <f t="shared" si="1"/>
        <v>-2792278.7844410799</v>
      </c>
      <c r="Q23" s="172">
        <f t="shared" si="2"/>
        <v>-0.12015753284932927</v>
      </c>
      <c r="R23" s="171">
        <f t="shared" si="10"/>
        <v>22150054.566855498</v>
      </c>
      <c r="S23" s="1">
        <v>51984357</v>
      </c>
      <c r="T23" s="171" t="s">
        <v>85</v>
      </c>
    </row>
    <row r="24" spans="1:20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423.71161984372435</v>
      </c>
      <c r="I24" s="2">
        <f t="shared" si="5"/>
        <v>78424571.861065015</v>
      </c>
      <c r="J24" s="2">
        <f t="shared" si="6"/>
        <v>6535380.9884220846</v>
      </c>
      <c r="K24" s="2">
        <f t="shared" si="7"/>
        <v>313698287.44426006</v>
      </c>
      <c r="L24" s="179">
        <f t="shared" si="8"/>
        <v>2667502.4442539122</v>
      </c>
      <c r="M24" s="181">
        <f>J24*4+'2020 stari saziv i zakon '!J24</f>
        <v>32311249.639969364</v>
      </c>
      <c r="N24" s="162">
        <v>34969757</v>
      </c>
      <c r="O24" s="162">
        <f t="shared" si="9"/>
        <v>2658507.3600306362</v>
      </c>
      <c r="P24" s="2">
        <f t="shared" si="1"/>
        <v>43454814.861065015</v>
      </c>
      <c r="Q24" s="172">
        <f t="shared" si="2"/>
        <v>1.242639886261292</v>
      </c>
      <c r="R24" s="171">
        <f t="shared" si="10"/>
        <v>84959952.849487096</v>
      </c>
      <c r="S24" s="1">
        <v>17865427</v>
      </c>
      <c r="T24" s="171" t="s">
        <v>87</v>
      </c>
    </row>
    <row r="25" spans="1:20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1">C25*1.5</f>
        <v>37014</v>
      </c>
      <c r="F25" s="2">
        <v>0</v>
      </c>
      <c r="G25" s="2">
        <f t="shared" si="4"/>
        <v>37014</v>
      </c>
      <c r="H25" s="2">
        <f>A6</f>
        <v>423.71161984372435</v>
      </c>
      <c r="I25" s="2">
        <f t="shared" si="5"/>
        <v>15683261.896895614</v>
      </c>
      <c r="J25" s="2">
        <f t="shared" si="6"/>
        <v>1306938.4914079679</v>
      </c>
      <c r="K25" s="2">
        <f t="shared" si="7"/>
        <v>62733047.587582454</v>
      </c>
      <c r="L25" s="179">
        <f t="shared" si="8"/>
        <v>533444.28220733383</v>
      </c>
      <c r="M25" s="181">
        <f>J25*11+'2020 stari saziv i zakon '!J25</f>
        <v>15610138.541149076</v>
      </c>
      <c r="N25" s="162">
        <v>17865427</v>
      </c>
      <c r="O25" s="162">
        <f t="shared" si="9"/>
        <v>2255288.4588509239</v>
      </c>
      <c r="P25" s="2">
        <f t="shared" si="1"/>
        <v>-2182165.1031043865</v>
      </c>
      <c r="Q25" s="172">
        <f t="shared" si="2"/>
        <v>-0.12214458143678214</v>
      </c>
      <c r="R25" s="171">
        <f t="shared" si="10"/>
        <v>16990200.388303582</v>
      </c>
      <c r="S25" s="1">
        <v>34969757</v>
      </c>
      <c r="T25" s="171" t="s">
        <v>131</v>
      </c>
    </row>
    <row r="26" spans="1:20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1"/>
        <v>39655.5</v>
      </c>
      <c r="F26" s="2">
        <v>0</v>
      </c>
      <c r="G26" s="2">
        <f t="shared" si="4"/>
        <v>39655.5</v>
      </c>
      <c r="H26" s="2">
        <f>A6</f>
        <v>423.71161984372435</v>
      </c>
      <c r="I26" s="2">
        <f t="shared" si="5"/>
        <v>16802496.140712813</v>
      </c>
      <c r="J26" s="2">
        <f t="shared" si="6"/>
        <v>1400208.0117260676</v>
      </c>
      <c r="K26" s="2">
        <f t="shared" si="7"/>
        <v>67209984.56285125</v>
      </c>
      <c r="L26" s="179">
        <f t="shared" si="8"/>
        <v>571513.47417390521</v>
      </c>
      <c r="M26" s="181">
        <f>J26*11+'2020 stari saziv i zakon '!J26</f>
        <v>16724154.34480297</v>
      </c>
      <c r="N26" s="162">
        <f>S29+S30+S31</f>
        <v>15770250.439999998</v>
      </c>
      <c r="O26" s="162">
        <f t="shared" si="9"/>
        <v>-953903.90480297245</v>
      </c>
      <c r="P26" s="2">
        <f t="shared" si="1"/>
        <v>1032245.7007128149</v>
      </c>
      <c r="Q26" s="172">
        <f t="shared" si="2"/>
        <v>6.5455250989204655E-2</v>
      </c>
      <c r="R26" s="171">
        <f t="shared" si="10"/>
        <v>18202704.152438879</v>
      </c>
      <c r="S26" s="1">
        <v>23238483</v>
      </c>
      <c r="T26" s="171" t="s">
        <v>152</v>
      </c>
    </row>
    <row r="27" spans="1:20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1212329999.9999998</v>
      </c>
      <c r="J27" s="123">
        <f t="shared" si="6"/>
        <v>101027499.99999999</v>
      </c>
      <c r="K27" s="123">
        <f t="shared" si="7"/>
        <v>4849319999.999999</v>
      </c>
      <c r="L27" s="180">
        <f t="shared" si="8"/>
        <v>41235714.285714276</v>
      </c>
      <c r="M27" s="181">
        <f>J27*11+'2020 stari saziv i zakon '!J27</f>
        <v>1206677499.9999998</v>
      </c>
      <c r="N27" s="162">
        <f>SUM(N20:N26)</f>
        <v>1301871020.1400001</v>
      </c>
      <c r="O27" s="162">
        <f t="shared" si="9"/>
        <v>95193520.140000343</v>
      </c>
      <c r="P27" s="2">
        <f>I27-N27</f>
        <v>-89541020.140000343</v>
      </c>
      <c r="Q27" s="172">
        <f>P27/N27</f>
        <v>-6.8778718286832533E-2</v>
      </c>
      <c r="R27" s="171">
        <f t="shared" si="10"/>
        <v>1313357499.9999998</v>
      </c>
      <c r="S27" s="1">
        <v>30000000</v>
      </c>
      <c r="T27" s="171" t="s">
        <v>153</v>
      </c>
    </row>
    <row r="28" spans="1:20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S28" s="1">
        <v>34060000</v>
      </c>
      <c r="T28" s="171" t="s">
        <v>154</v>
      </c>
    </row>
    <row r="29" spans="1:20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S29" s="1">
        <v>6395000</v>
      </c>
      <c r="T29" s="171" t="s">
        <v>155</v>
      </c>
    </row>
    <row r="30" spans="1:20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S30" s="171">
        <v>4254424.72</v>
      </c>
      <c r="T30" s="171" t="s">
        <v>199</v>
      </c>
    </row>
    <row r="31" spans="1:20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S31" s="182">
        <v>5120825.72</v>
      </c>
      <c r="T31" s="171" t="s">
        <v>200</v>
      </c>
    </row>
    <row r="32" spans="1:20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171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81060-7C16-4FEA-8FB6-209DE7CF5086}">
  <dimension ref="A1:T61"/>
  <sheetViews>
    <sheetView workbookViewId="0">
      <selection activeCell="O25" sqref="O25"/>
    </sheetView>
  </sheetViews>
  <sheetFormatPr defaultColWidth="9.109375" defaultRowHeight="14.4" x14ac:dyDescent="0.3"/>
  <cols>
    <col min="1" max="1" width="24.5546875" style="171" customWidth="1"/>
    <col min="2" max="2" width="21.6640625" style="171" customWidth="1"/>
    <col min="3" max="3" width="57.109375" style="171" customWidth="1"/>
    <col min="4" max="5" width="37.6640625" style="171" customWidth="1"/>
    <col min="6" max="6" width="22.44140625" style="171" customWidth="1"/>
    <col min="7" max="7" width="18.5546875" style="171" customWidth="1"/>
    <col min="8" max="8" width="27.6640625" style="171" customWidth="1"/>
    <col min="9" max="9" width="15.44140625" style="171" bestFit="1" customWidth="1"/>
    <col min="10" max="10" width="15.44140625" style="171" customWidth="1"/>
    <col min="11" max="11" width="15.44140625" style="171" bestFit="1" customWidth="1"/>
    <col min="12" max="12" width="12.6640625" style="171" bestFit="1" customWidth="1"/>
    <col min="13" max="13" width="21" style="171" customWidth="1"/>
    <col min="14" max="15" width="17.88671875" style="171" customWidth="1"/>
    <col min="16" max="16" width="45.33203125" style="171" customWidth="1"/>
    <col min="17" max="17" width="12.109375" style="171" customWidth="1"/>
    <col min="18" max="18" width="12" style="171" bestFit="1" customWidth="1"/>
    <col min="19" max="19" width="21" style="171" customWidth="1"/>
    <col min="20" max="16384" width="9.109375" style="171"/>
  </cols>
  <sheetData>
    <row r="1" spans="1:8" x14ac:dyDescent="0.3">
      <c r="A1" s="211" t="s">
        <v>129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24">
        <v>1168300000000</v>
      </c>
      <c r="B3" s="25">
        <f>A3/117.647</f>
        <v>9930554965.277483</v>
      </c>
      <c r="C3" s="32" t="s">
        <v>189</v>
      </c>
      <c r="D3" s="171" t="s">
        <v>196</v>
      </c>
    </row>
    <row r="4" spans="1:8" ht="15.6" x14ac:dyDescent="0.3">
      <c r="A4" s="24">
        <f>A3/10000*10.5</f>
        <v>1226715000</v>
      </c>
      <c r="B4" s="25">
        <f t="shared" ref="B4:B6" si="0">A4/117.647</f>
        <v>10427082.713541357</v>
      </c>
      <c r="C4" s="26" t="s">
        <v>114</v>
      </c>
      <c r="D4" s="176" t="s">
        <v>188</v>
      </c>
      <c r="E4" s="172"/>
      <c r="F4" s="173" t="s">
        <v>175</v>
      </c>
      <c r="G4" s="173" t="s">
        <v>176</v>
      </c>
      <c r="H4" s="173" t="s">
        <v>177</v>
      </c>
    </row>
    <row r="5" spans="1:8" ht="15.6" x14ac:dyDescent="0.3">
      <c r="A5" s="97">
        <f>G27</f>
        <v>2861214.9000000004</v>
      </c>
      <c r="B5" s="98">
        <f>A5</f>
        <v>2861214.9000000004</v>
      </c>
      <c r="C5" s="23" t="s">
        <v>122</v>
      </c>
      <c r="E5" s="173" t="s">
        <v>178</v>
      </c>
      <c r="F5" s="176" t="s">
        <v>179</v>
      </c>
      <c r="G5" s="176" t="s">
        <v>180</v>
      </c>
      <c r="H5" s="176" t="s">
        <v>181</v>
      </c>
    </row>
    <row r="6" spans="1:8" ht="15.6" x14ac:dyDescent="0.3">
      <c r="A6" s="27">
        <f>A4/A5</f>
        <v>428.73920445472299</v>
      </c>
      <c r="B6" s="28">
        <f t="shared" si="0"/>
        <v>3.6442850600076753</v>
      </c>
      <c r="C6" s="29" t="s">
        <v>123</v>
      </c>
      <c r="E6" s="174" t="s">
        <v>182</v>
      </c>
      <c r="F6" s="175" t="s">
        <v>183</v>
      </c>
      <c r="G6" s="175" t="s">
        <v>184</v>
      </c>
      <c r="H6" s="175" t="s">
        <v>185</v>
      </c>
    </row>
    <row r="7" spans="1:8" ht="16.2" thickBot="1" x14ac:dyDescent="0.35">
      <c r="A7" s="8"/>
      <c r="B7" s="9"/>
      <c r="C7" s="7"/>
      <c r="E7" s="177" t="s">
        <v>186</v>
      </c>
      <c r="F7" s="176" t="s">
        <v>187</v>
      </c>
      <c r="G7" s="176" t="s">
        <v>188</v>
      </c>
      <c r="H7" s="176" t="s">
        <v>188</v>
      </c>
    </row>
    <row r="8" spans="1:8" x14ac:dyDescent="0.3">
      <c r="A8" s="3"/>
      <c r="B8" s="3"/>
      <c r="C8" s="43"/>
    </row>
    <row r="17" spans="1:20" x14ac:dyDescent="0.3">
      <c r="N17" s="130" t="s">
        <v>150</v>
      </c>
      <c r="O17" s="130"/>
    </row>
    <row r="18" spans="1:20" ht="15" thickBot="1" x14ac:dyDescent="0.35">
      <c r="N18" s="130"/>
      <c r="O18" s="130"/>
    </row>
    <row r="19" spans="1:20" ht="44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78" t="s">
        <v>120</v>
      </c>
      <c r="M19" s="161" t="s">
        <v>191</v>
      </c>
      <c r="N19" s="160" t="s">
        <v>172</v>
      </c>
      <c r="O19" s="160" t="s">
        <v>192</v>
      </c>
      <c r="P19" s="161" t="s">
        <v>173</v>
      </c>
      <c r="Q19" s="177" t="s">
        <v>174</v>
      </c>
    </row>
    <row r="20" spans="1:20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428.73920445472299</v>
      </c>
      <c r="I20" s="2">
        <f>G20*H20</f>
        <v>870989353.2072686</v>
      </c>
      <c r="J20" s="2">
        <f>I20/12</f>
        <v>72582446.100605711</v>
      </c>
      <c r="K20" s="2">
        <f>I20*4</f>
        <v>3483957412.8290744</v>
      </c>
      <c r="L20" s="179">
        <f>K20/117.6</f>
        <v>29625488.204328865</v>
      </c>
      <c r="M20" s="181">
        <f>J20*11+'2020 stari saziv i zakon '!J20</f>
        <v>866124844.49402928</v>
      </c>
      <c r="N20" s="162">
        <f>S20+S27+S28</f>
        <v>974284089.70000005</v>
      </c>
      <c r="O20" s="162">
        <f>N20-M20</f>
        <v>108159245.20597076</v>
      </c>
      <c r="P20" s="2">
        <f t="shared" ref="P20:P26" si="1">I20-N20</f>
        <v>-103294736.49273145</v>
      </c>
      <c r="Q20" s="172">
        <f t="shared" ref="Q20:Q26" si="2">P20/N20</f>
        <v>-0.10602116732147171</v>
      </c>
      <c r="R20" s="171">
        <f>J20*13</f>
        <v>943571799.3078742</v>
      </c>
      <c r="S20" s="1">
        <v>910224089.70000005</v>
      </c>
      <c r="T20" s="171" t="s">
        <v>63</v>
      </c>
    </row>
    <row r="21" spans="1:20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428.73920445472299</v>
      </c>
      <c r="I21" s="2">
        <f t="shared" ref="I21:I26" si="5">G21*H21</f>
        <v>176575469.62410966</v>
      </c>
      <c r="J21" s="2">
        <f t="shared" ref="J21:J27" si="6">I21/12</f>
        <v>14714622.468675805</v>
      </c>
      <c r="K21" s="2">
        <f t="shared" ref="K21:K27" si="7">I21*4</f>
        <v>706301878.49643862</v>
      </c>
      <c r="L21" s="179">
        <f t="shared" ref="L21:L27" si="8">K21/117.6</f>
        <v>6005968.3545615533</v>
      </c>
      <c r="M21" s="181">
        <f>J21*11+'2020 stari saziv i zakon '!J21</f>
        <v>175589288.90058205</v>
      </c>
      <c r="N21" s="162">
        <f>S21+S22</f>
        <v>183758656</v>
      </c>
      <c r="O21" s="162">
        <f t="shared" ref="O21:O27" si="9">N21-M21</f>
        <v>8169367.0994179547</v>
      </c>
      <c r="P21" s="2">
        <f t="shared" si="1"/>
        <v>-7183186.3758903444</v>
      </c>
      <c r="Q21" s="172">
        <f t="shared" si="2"/>
        <v>-3.9090329306121746E-2</v>
      </c>
      <c r="R21" s="171">
        <f t="shared" ref="R21:R27" si="10">J21*13</f>
        <v>191290092.09278548</v>
      </c>
      <c r="S21" s="1">
        <v>137818990.5</v>
      </c>
      <c r="T21" s="171" t="s">
        <v>83</v>
      </c>
    </row>
    <row r="22" spans="1:20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428.73920445472299</v>
      </c>
      <c r="I22" s="2">
        <f t="shared" si="5"/>
        <v>46235021.438795097</v>
      </c>
      <c r="J22" s="2">
        <f t="shared" si="6"/>
        <v>3852918.4532329249</v>
      </c>
      <c r="K22" s="2">
        <f t="shared" si="7"/>
        <v>184940085.75518039</v>
      </c>
      <c r="L22" s="179">
        <f t="shared" si="8"/>
        <v>1572619.7768297652</v>
      </c>
      <c r="M22" s="181">
        <f>J22*11+'2020 stari saziv i zakon '!J22</f>
        <v>45976797.082989112</v>
      </c>
      <c r="N22" s="162">
        <v>51984357</v>
      </c>
      <c r="O22" s="162">
        <f t="shared" si="9"/>
        <v>6007559.9170108885</v>
      </c>
      <c r="P22" s="2">
        <f t="shared" si="1"/>
        <v>-5749335.5612049028</v>
      </c>
      <c r="Q22" s="172">
        <f t="shared" si="2"/>
        <v>-0.11059741608816866</v>
      </c>
      <c r="R22" s="171">
        <f t="shared" si="10"/>
        <v>50087939.892028026</v>
      </c>
      <c r="S22" s="1">
        <v>45939665.5</v>
      </c>
      <c r="T22" s="171" t="s">
        <v>151</v>
      </c>
    </row>
    <row r="23" spans="1:20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428.73920445472299</v>
      </c>
      <c r="I23" s="2">
        <f t="shared" si="5"/>
        <v>20688810.310962658</v>
      </c>
      <c r="J23" s="2">
        <f t="shared" si="6"/>
        <v>1724067.5259135549</v>
      </c>
      <c r="K23" s="2">
        <f t="shared" si="7"/>
        <v>82755241.243850634</v>
      </c>
      <c r="L23" s="179">
        <f t="shared" si="8"/>
        <v>703701.03098512453</v>
      </c>
      <c r="M23" s="181">
        <f>J23*11+'2020 stari saziv i zakon '!J23</f>
        <v>20573262.517348833</v>
      </c>
      <c r="N23" s="162">
        <v>23238483</v>
      </c>
      <c r="O23" s="162">
        <f t="shared" si="9"/>
        <v>2665220.4826511666</v>
      </c>
      <c r="P23" s="2">
        <f t="shared" si="1"/>
        <v>-2549672.6890373416</v>
      </c>
      <c r="Q23" s="172">
        <f t="shared" si="2"/>
        <v>-0.10971769065292866</v>
      </c>
      <c r="R23" s="171">
        <f t="shared" si="10"/>
        <v>22412877.836876214</v>
      </c>
      <c r="S23" s="1">
        <v>51984357</v>
      </c>
      <c r="T23" s="171" t="s">
        <v>85</v>
      </c>
    </row>
    <row r="24" spans="1:20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428.73920445472299</v>
      </c>
      <c r="I24" s="2">
        <f t="shared" si="5"/>
        <v>79355124.98292245</v>
      </c>
      <c r="J24" s="2">
        <f t="shared" si="6"/>
        <v>6612927.0819102041</v>
      </c>
      <c r="K24" s="2">
        <f t="shared" si="7"/>
        <v>317420499.9316898</v>
      </c>
      <c r="L24" s="179">
        <f t="shared" si="8"/>
        <v>2699153.9109837571</v>
      </c>
      <c r="M24" s="181">
        <f>J24*4+'2020 stari saziv i zakon '!J24</f>
        <v>32621434.013921842</v>
      </c>
      <c r="N24" s="162">
        <v>34969757</v>
      </c>
      <c r="O24" s="162">
        <f t="shared" si="9"/>
        <v>2348322.986078158</v>
      </c>
      <c r="P24" s="2">
        <f t="shared" si="1"/>
        <v>44385367.98292245</v>
      </c>
      <c r="Q24" s="172">
        <f t="shared" si="2"/>
        <v>1.2692501118301294</v>
      </c>
      <c r="R24" s="171">
        <f t="shared" si="10"/>
        <v>85968052.064832658</v>
      </c>
      <c r="S24" s="1">
        <v>17865427</v>
      </c>
      <c r="T24" s="171" t="s">
        <v>87</v>
      </c>
    </row>
    <row r="25" spans="1:20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1">C25*1.5</f>
        <v>37014</v>
      </c>
      <c r="F25" s="2">
        <v>0</v>
      </c>
      <c r="G25" s="2">
        <f t="shared" si="4"/>
        <v>37014</v>
      </c>
      <c r="H25" s="2">
        <f>A6</f>
        <v>428.73920445472299</v>
      </c>
      <c r="I25" s="2">
        <f t="shared" si="5"/>
        <v>15869352.913687117</v>
      </c>
      <c r="J25" s="2">
        <f t="shared" si="6"/>
        <v>1322446.076140593</v>
      </c>
      <c r="K25" s="2">
        <f t="shared" si="7"/>
        <v>63477411.65474847</v>
      </c>
      <c r="L25" s="179">
        <f t="shared" si="8"/>
        <v>539773.90862881357</v>
      </c>
      <c r="M25" s="181">
        <f>J25*11+'2020 stari saziv i zakon '!J25</f>
        <v>15780721.973207952</v>
      </c>
      <c r="N25" s="162">
        <v>17865427</v>
      </c>
      <c r="O25" s="162">
        <f t="shared" si="9"/>
        <v>2084705.0267920475</v>
      </c>
      <c r="P25" s="2">
        <f t="shared" si="1"/>
        <v>-1996074.0863128826</v>
      </c>
      <c r="Q25" s="172">
        <f t="shared" si="2"/>
        <v>-0.11172831672665214</v>
      </c>
      <c r="R25" s="171">
        <f t="shared" si="10"/>
        <v>17191798.989827711</v>
      </c>
      <c r="S25" s="1">
        <v>34969757</v>
      </c>
      <c r="T25" s="171" t="s">
        <v>131</v>
      </c>
    </row>
    <row r="26" spans="1:20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1"/>
        <v>39655.5</v>
      </c>
      <c r="F26" s="2">
        <v>0</v>
      </c>
      <c r="G26" s="2">
        <f t="shared" si="4"/>
        <v>39655.5</v>
      </c>
      <c r="H26" s="2">
        <f>A6</f>
        <v>428.73920445472299</v>
      </c>
      <c r="I26" s="2">
        <f t="shared" si="5"/>
        <v>17001867.522254266</v>
      </c>
      <c r="J26" s="2">
        <f t="shared" si="6"/>
        <v>1416822.2935211889</v>
      </c>
      <c r="K26" s="2">
        <f t="shared" si="7"/>
        <v>68007470.089017063</v>
      </c>
      <c r="L26" s="179">
        <f t="shared" si="8"/>
        <v>578294.81368211797</v>
      </c>
      <c r="M26" s="181">
        <f>J26*11+'2020 stari saziv i zakon '!J26</f>
        <v>16906911.444549304</v>
      </c>
      <c r="N26" s="162">
        <f>S29+S30+S31</f>
        <v>15770250.439999998</v>
      </c>
      <c r="O26" s="162">
        <f t="shared" si="9"/>
        <v>-1136661.0045493059</v>
      </c>
      <c r="P26" s="2">
        <f t="shared" si="1"/>
        <v>1231617.0822542682</v>
      </c>
      <c r="Q26" s="172">
        <f t="shared" si="2"/>
        <v>7.8097496735395441E-2</v>
      </c>
      <c r="R26" s="171">
        <f t="shared" si="10"/>
        <v>18418689.815775454</v>
      </c>
      <c r="S26" s="1">
        <v>23238483</v>
      </c>
      <c r="T26" s="171" t="s">
        <v>152</v>
      </c>
    </row>
    <row r="27" spans="1:20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1226715000</v>
      </c>
      <c r="J27" s="123">
        <f t="shared" si="6"/>
        <v>102226250</v>
      </c>
      <c r="K27" s="123">
        <f t="shared" si="7"/>
        <v>4906860000</v>
      </c>
      <c r="L27" s="180">
        <f t="shared" si="8"/>
        <v>41725000</v>
      </c>
      <c r="M27" s="181">
        <f>J27*11+'2020 stari saziv i zakon '!J27</f>
        <v>1219863750</v>
      </c>
      <c r="N27" s="162">
        <f>SUM(N20:N26)</f>
        <v>1301871020.1400001</v>
      </c>
      <c r="O27" s="162">
        <f t="shared" si="9"/>
        <v>82007270.140000105</v>
      </c>
      <c r="P27" s="2">
        <f>I27-N27</f>
        <v>-75156020.140000105</v>
      </c>
      <c r="Q27" s="172">
        <f>P27/N27</f>
        <v>-5.7729236596662244E-2</v>
      </c>
      <c r="R27" s="171">
        <f t="shared" si="10"/>
        <v>1328941250</v>
      </c>
      <c r="S27" s="1">
        <v>30000000</v>
      </c>
      <c r="T27" s="171" t="s">
        <v>153</v>
      </c>
    </row>
    <row r="28" spans="1:20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S28" s="1">
        <v>34060000</v>
      </c>
      <c r="T28" s="171" t="s">
        <v>154</v>
      </c>
    </row>
    <row r="29" spans="1:20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S29" s="1">
        <v>6395000</v>
      </c>
      <c r="T29" s="171" t="s">
        <v>155</v>
      </c>
    </row>
    <row r="30" spans="1:20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S30" s="171">
        <v>4254424.72</v>
      </c>
      <c r="T30" s="171" t="s">
        <v>199</v>
      </c>
    </row>
    <row r="31" spans="1:20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S31" s="182">
        <v>5120825.72</v>
      </c>
      <c r="T31" s="171" t="s">
        <v>200</v>
      </c>
    </row>
    <row r="32" spans="1:20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171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6192-FB1D-44C1-815C-E60B09F554E5}">
  <dimension ref="A1:U61"/>
  <sheetViews>
    <sheetView workbookViewId="0">
      <selection activeCell="C4" sqref="C4"/>
    </sheetView>
  </sheetViews>
  <sheetFormatPr defaultColWidth="9.109375" defaultRowHeight="14.4" x14ac:dyDescent="0.3"/>
  <cols>
    <col min="1" max="1" width="24.5546875" style="79" customWidth="1"/>
    <col min="2" max="2" width="21.6640625" style="79" customWidth="1"/>
    <col min="3" max="3" width="57.109375" style="79" customWidth="1"/>
    <col min="4" max="5" width="37.6640625" style="79" customWidth="1"/>
    <col min="6" max="6" width="22.44140625" style="79" customWidth="1"/>
    <col min="7" max="7" width="18.5546875" style="79" customWidth="1"/>
    <col min="8" max="8" width="27.6640625" style="79" customWidth="1"/>
    <col min="9" max="9" width="15.44140625" style="79" bestFit="1" customWidth="1"/>
    <col min="10" max="10" width="15.44140625" style="79" customWidth="1"/>
    <col min="11" max="11" width="15.44140625" style="79" bestFit="1" customWidth="1"/>
    <col min="12" max="12" width="12.6640625" style="79" bestFit="1" customWidth="1"/>
    <col min="13" max="13" width="21" style="79" customWidth="1"/>
    <col min="14" max="14" width="17.88671875" style="79" customWidth="1"/>
    <col min="15" max="15" width="17.88671875" style="171" customWidth="1"/>
    <col min="16" max="16" width="45.33203125" style="79" customWidth="1"/>
    <col min="17" max="17" width="12.109375" style="79" customWidth="1"/>
    <col min="18" max="18" width="12.109375" style="171" customWidth="1"/>
    <col min="19" max="19" width="12" style="79" bestFit="1" customWidth="1"/>
    <col min="20" max="20" width="21" style="79" customWidth="1"/>
    <col min="21" max="16384" width="9.109375" style="79"/>
  </cols>
  <sheetData>
    <row r="1" spans="1:8" x14ac:dyDescent="0.3">
      <c r="A1" s="211" t="s">
        <v>201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24">
        <v>1279300000000</v>
      </c>
      <c r="B3" s="25">
        <f>A3/117.647</f>
        <v>10874055437.027718</v>
      </c>
      <c r="C3" s="32" t="s">
        <v>193</v>
      </c>
      <c r="D3" s="79" t="s">
        <v>194</v>
      </c>
      <c r="E3" s="79" t="s">
        <v>195</v>
      </c>
    </row>
    <row r="4" spans="1:8" ht="15.6" x14ac:dyDescent="0.3">
      <c r="A4" s="24">
        <f>A3/10000*10.5</f>
        <v>1343265000</v>
      </c>
      <c r="B4" s="25">
        <f t="shared" ref="B4:B6" si="0">A4/117.647</f>
        <v>11417758.208879104</v>
      </c>
      <c r="C4" s="26" t="s">
        <v>114</v>
      </c>
      <c r="D4" s="176">
        <v>1226715000</v>
      </c>
      <c r="E4" s="1">
        <f>D4-A4</f>
        <v>-116550000</v>
      </c>
    </row>
    <row r="5" spans="1:8" x14ac:dyDescent="0.3">
      <c r="A5" s="97">
        <f>G27</f>
        <v>2861214.9000000004</v>
      </c>
      <c r="B5" s="98">
        <f>A5</f>
        <v>2861214.9000000004</v>
      </c>
      <c r="C5" s="23" t="s">
        <v>122</v>
      </c>
    </row>
    <row r="6" spans="1:8" x14ac:dyDescent="0.3">
      <c r="A6" s="27">
        <f>A4/A5</f>
        <v>469.47364911317908</v>
      </c>
      <c r="B6" s="28">
        <f t="shared" si="0"/>
        <v>3.9905280127260285</v>
      </c>
      <c r="C6" s="29" t="s">
        <v>123</v>
      </c>
    </row>
    <row r="7" spans="1:8" ht="15" thickBot="1" x14ac:dyDescent="0.35">
      <c r="A7" s="8"/>
      <c r="B7" s="9"/>
      <c r="C7" s="7"/>
    </row>
    <row r="8" spans="1:8" x14ac:dyDescent="0.3">
      <c r="A8" s="3"/>
      <c r="B8" s="3"/>
      <c r="C8" s="43"/>
    </row>
    <row r="9" spans="1:8" x14ac:dyDescent="0.3">
      <c r="E9" s="165"/>
      <c r="F9" s="166" t="s">
        <v>175</v>
      </c>
      <c r="G9" s="166" t="s">
        <v>176</v>
      </c>
      <c r="H9" s="166" t="s">
        <v>177</v>
      </c>
    </row>
    <row r="10" spans="1:8" ht="15.6" x14ac:dyDescent="0.3">
      <c r="E10" s="166" t="s">
        <v>178</v>
      </c>
      <c r="F10" s="169" t="s">
        <v>179</v>
      </c>
      <c r="G10" s="169" t="s">
        <v>180</v>
      </c>
      <c r="H10" s="169" t="s">
        <v>181</v>
      </c>
    </row>
    <row r="11" spans="1:8" ht="15.6" x14ac:dyDescent="0.3">
      <c r="E11" s="167" t="s">
        <v>182</v>
      </c>
      <c r="F11" s="168" t="s">
        <v>183</v>
      </c>
      <c r="G11" s="168" t="s">
        <v>184</v>
      </c>
      <c r="H11" s="168" t="s">
        <v>185</v>
      </c>
    </row>
    <row r="12" spans="1:8" ht="15.6" x14ac:dyDescent="0.3">
      <c r="E12" s="170" t="s">
        <v>186</v>
      </c>
      <c r="F12" s="169" t="s">
        <v>187</v>
      </c>
      <c r="G12" s="169" t="s">
        <v>188</v>
      </c>
      <c r="H12" s="169" t="s">
        <v>188</v>
      </c>
    </row>
    <row r="17" spans="1:21" x14ac:dyDescent="0.3">
      <c r="N17" s="130" t="s">
        <v>150</v>
      </c>
      <c r="O17" s="130"/>
    </row>
    <row r="18" spans="1:21" ht="15" thickBot="1" x14ac:dyDescent="0.35">
      <c r="N18" s="130"/>
      <c r="O18" s="130"/>
    </row>
    <row r="19" spans="1:21" ht="44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78" t="s">
        <v>120</v>
      </c>
      <c r="M19" s="161" t="s">
        <v>191</v>
      </c>
      <c r="N19" s="160" t="s">
        <v>172</v>
      </c>
      <c r="O19" s="160" t="s">
        <v>192</v>
      </c>
      <c r="P19" s="161" t="s">
        <v>173</v>
      </c>
      <c r="Q19" s="163" t="s">
        <v>174</v>
      </c>
      <c r="R19" s="183"/>
    </row>
    <row r="20" spans="1:21" ht="10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469.47364911317908</v>
      </c>
      <c r="I20" s="2">
        <f>G20*H20</f>
        <v>953741915.22559166</v>
      </c>
      <c r="J20" s="2">
        <f>I20/12</f>
        <v>79478492.935465977</v>
      </c>
      <c r="K20" s="2">
        <f>I20*4</f>
        <v>3814967660.9023666</v>
      </c>
      <c r="L20" s="179">
        <f>K20/117.6</f>
        <v>32440201.198149379</v>
      </c>
      <c r="M20" s="181">
        <f>J20*11+'2020 stari saziv i zakon '!J20</f>
        <v>941981359.67749214</v>
      </c>
      <c r="N20" s="162">
        <f>T20+T27+T28</f>
        <v>974284089.70000005</v>
      </c>
      <c r="O20" s="162">
        <f>N20-M20</f>
        <v>32302730.022507906</v>
      </c>
      <c r="P20" s="2">
        <f t="shared" ref="P20:P26" si="1">I20-N20</f>
        <v>-20542174.474408388</v>
      </c>
      <c r="Q20" s="80">
        <f t="shared" ref="Q20:Q26" si="2">P20/N20</f>
        <v>-2.1084378459606892E-2</v>
      </c>
      <c r="R20" s="94" t="s">
        <v>109</v>
      </c>
      <c r="S20" s="79">
        <f>J20*13</f>
        <v>1033220408.1610577</v>
      </c>
      <c r="T20" s="1">
        <v>910224089.70000005</v>
      </c>
      <c r="U20" s="79" t="s">
        <v>63</v>
      </c>
    </row>
    <row r="21" spans="1:21" ht="81.599999999999994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469.47364911317908</v>
      </c>
      <c r="I21" s="2">
        <f t="shared" ref="I21:I26" si="5">G21*H21</f>
        <v>193351877.33469442</v>
      </c>
      <c r="J21" s="2">
        <f t="shared" ref="J21:J27" si="6">I21/12</f>
        <v>16112656.444557868</v>
      </c>
      <c r="K21" s="2">
        <f t="shared" ref="K21:K27" si="7">I21*4</f>
        <v>773407509.33877766</v>
      </c>
      <c r="L21" s="179">
        <f t="shared" ref="L21:L27" si="8">K21/117.6</f>
        <v>6576594.4671664769</v>
      </c>
      <c r="M21" s="181">
        <f>J21*11+'2020 stari saziv i zakon '!J21</f>
        <v>190967662.63528472</v>
      </c>
      <c r="N21" s="162">
        <f>T21+T22</f>
        <v>183758656</v>
      </c>
      <c r="O21" s="162">
        <f t="shared" ref="O21:O27" si="9">N21-M21</f>
        <v>-7209006.6352847219</v>
      </c>
      <c r="P21" s="2">
        <f t="shared" si="1"/>
        <v>9593221.3346944153</v>
      </c>
      <c r="Q21" s="80">
        <f t="shared" si="2"/>
        <v>5.2205547991678911E-2</v>
      </c>
      <c r="R21" s="94" t="s">
        <v>110</v>
      </c>
      <c r="S21" s="79">
        <f t="shared" ref="S21:S27" si="10">J21*13</f>
        <v>209464533.77925229</v>
      </c>
      <c r="T21" s="1">
        <v>137818990.5</v>
      </c>
      <c r="U21" s="79" t="s">
        <v>83</v>
      </c>
    </row>
    <row r="22" spans="1:21" ht="122.4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469.47364911317908</v>
      </c>
      <c r="I22" s="2">
        <f t="shared" si="5"/>
        <v>50627803.583540678</v>
      </c>
      <c r="J22" s="2">
        <f t="shared" si="6"/>
        <v>4218983.6319617229</v>
      </c>
      <c r="K22" s="2">
        <f t="shared" si="7"/>
        <v>202511214.33416271</v>
      </c>
      <c r="L22" s="179">
        <f t="shared" si="8"/>
        <v>1722034.135494581</v>
      </c>
      <c r="M22" s="181">
        <f>J22*11+'2020 stari saziv i zakon '!J22</f>
        <v>50003514.049005888</v>
      </c>
      <c r="N22" s="162">
        <v>51984357</v>
      </c>
      <c r="O22" s="162">
        <f t="shared" si="9"/>
        <v>1980842.9509941116</v>
      </c>
      <c r="P22" s="2">
        <f t="shared" si="1"/>
        <v>-1356553.416459322</v>
      </c>
      <c r="Q22" s="80">
        <f t="shared" si="2"/>
        <v>-2.6095415904813866E-2</v>
      </c>
      <c r="R22" s="94" t="s">
        <v>111</v>
      </c>
      <c r="S22" s="79">
        <f t="shared" si="10"/>
        <v>54846787.215502396</v>
      </c>
      <c r="T22" s="1">
        <v>45939665.5</v>
      </c>
      <c r="U22" s="79" t="s">
        <v>151</v>
      </c>
    </row>
    <row r="23" spans="1:21" ht="409.6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469.47364911317908</v>
      </c>
      <c r="I23" s="2">
        <f t="shared" si="5"/>
        <v>22654450.937956456</v>
      </c>
      <c r="J23" s="2">
        <f t="shared" si="6"/>
        <v>1887870.9114963713</v>
      </c>
      <c r="K23" s="2">
        <f t="shared" si="7"/>
        <v>90617803.751825824</v>
      </c>
      <c r="L23" s="179">
        <f t="shared" si="8"/>
        <v>770559.55571280466</v>
      </c>
      <c r="M23" s="181">
        <f>J23*11+'2020 stari saziv i zakon '!J23</f>
        <v>22375099.758759815</v>
      </c>
      <c r="N23" s="162">
        <v>23238483</v>
      </c>
      <c r="O23" s="162">
        <f t="shared" si="9"/>
        <v>863383.24124018475</v>
      </c>
      <c r="P23" s="2">
        <f t="shared" si="1"/>
        <v>-584032.06204354391</v>
      </c>
      <c r="Q23" s="80">
        <f t="shared" si="2"/>
        <v>-2.513210789377017E-2</v>
      </c>
      <c r="R23" s="94" t="s">
        <v>132</v>
      </c>
      <c r="S23" s="79">
        <f t="shared" si="10"/>
        <v>24542321.849452827</v>
      </c>
      <c r="T23" s="1">
        <v>51984357</v>
      </c>
      <c r="U23" s="79" t="s">
        <v>85</v>
      </c>
    </row>
    <row r="24" spans="1:21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469.47364911317908</v>
      </c>
      <c r="I24" s="2">
        <f t="shared" si="5"/>
        <v>86894642.977533758</v>
      </c>
      <c r="J24" s="2">
        <f t="shared" si="6"/>
        <v>7241220.2481278135</v>
      </c>
      <c r="K24" s="2">
        <f t="shared" si="7"/>
        <v>347578571.91013503</v>
      </c>
      <c r="L24" s="179">
        <f t="shared" si="8"/>
        <v>2955600.1012766585</v>
      </c>
      <c r="M24" s="181">
        <f>J24*4+'2020 stari saziv i zakon '!J24</f>
        <v>35134606.678792283</v>
      </c>
      <c r="N24" s="162">
        <v>34969757</v>
      </c>
      <c r="O24" s="162">
        <f t="shared" si="9"/>
        <v>-164849.67879228294</v>
      </c>
      <c r="P24" s="2">
        <f t="shared" si="1"/>
        <v>51924885.977533758</v>
      </c>
      <c r="Q24" s="80">
        <f t="shared" si="2"/>
        <v>1.4848512095046515</v>
      </c>
      <c r="R24" s="94" t="s">
        <v>131</v>
      </c>
      <c r="S24" s="79">
        <f t="shared" si="10"/>
        <v>94135863.225661576</v>
      </c>
      <c r="T24" s="1">
        <v>17865427</v>
      </c>
      <c r="U24" s="79" t="s">
        <v>87</v>
      </c>
    </row>
    <row r="25" spans="1:21" ht="102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1">C25*1.5</f>
        <v>37014</v>
      </c>
      <c r="F25" s="2">
        <v>0</v>
      </c>
      <c r="G25" s="2">
        <f t="shared" si="4"/>
        <v>37014</v>
      </c>
      <c r="H25" s="2">
        <f>A6</f>
        <v>469.47364911317908</v>
      </c>
      <c r="I25" s="2">
        <f t="shared" si="5"/>
        <v>17377097.648275211</v>
      </c>
      <c r="J25" s="2">
        <f t="shared" si="6"/>
        <v>1448091.470689601</v>
      </c>
      <c r="K25" s="2">
        <f t="shared" si="7"/>
        <v>69508390.593100846</v>
      </c>
      <c r="L25" s="179">
        <f t="shared" si="8"/>
        <v>591057.74313861271</v>
      </c>
      <c r="M25" s="181">
        <f>J25*11+'2020 stari saziv i zakon '!J25</f>
        <v>17162821.31324704</v>
      </c>
      <c r="N25" s="162">
        <v>17865427</v>
      </c>
      <c r="O25" s="162">
        <f t="shared" si="9"/>
        <v>702605.68675296009</v>
      </c>
      <c r="P25" s="2">
        <f t="shared" si="1"/>
        <v>-488329.35172478855</v>
      </c>
      <c r="Q25" s="80">
        <f t="shared" si="2"/>
        <v>-2.7333763235817904E-2</v>
      </c>
      <c r="R25" s="94" t="s">
        <v>112</v>
      </c>
      <c r="S25" s="79">
        <f t="shared" si="10"/>
        <v>18825189.118964814</v>
      </c>
      <c r="T25" s="1">
        <v>34969757</v>
      </c>
      <c r="U25" s="79" t="s">
        <v>131</v>
      </c>
    </row>
    <row r="26" spans="1:21" ht="61.2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1"/>
        <v>39655.5</v>
      </c>
      <c r="F26" s="2">
        <v>0</v>
      </c>
      <c r="G26" s="2">
        <f t="shared" si="4"/>
        <v>39655.5</v>
      </c>
      <c r="H26" s="2">
        <f>A6</f>
        <v>469.47364911317908</v>
      </c>
      <c r="I26" s="2">
        <f t="shared" si="5"/>
        <v>18617212.292407673</v>
      </c>
      <c r="J26" s="2">
        <f t="shared" si="6"/>
        <v>1551434.3577006394</v>
      </c>
      <c r="K26" s="2">
        <f t="shared" si="7"/>
        <v>74468849.169630691</v>
      </c>
      <c r="L26" s="179">
        <f t="shared" si="8"/>
        <v>633238.51334719977</v>
      </c>
      <c r="M26" s="181">
        <f>J26*11+'2020 stari saziv i zakon '!J26</f>
        <v>18387644.15052326</v>
      </c>
      <c r="N26" s="162">
        <f>T29+T30+T31</f>
        <v>15770250.439999998</v>
      </c>
      <c r="O26" s="162">
        <f t="shared" si="9"/>
        <v>-2617393.7105232626</v>
      </c>
      <c r="P26" s="2">
        <f t="shared" si="1"/>
        <v>2846961.8524076752</v>
      </c>
      <c r="Q26" s="80">
        <f t="shared" si="2"/>
        <v>0.18052737102935162</v>
      </c>
      <c r="R26" s="94" t="s">
        <v>113</v>
      </c>
      <c r="S26" s="79">
        <f t="shared" si="10"/>
        <v>20168646.650108311</v>
      </c>
      <c r="T26" s="1">
        <v>23238483</v>
      </c>
      <c r="U26" s="79" t="s">
        <v>152</v>
      </c>
    </row>
    <row r="27" spans="1:21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1343265000</v>
      </c>
      <c r="J27" s="123">
        <f t="shared" si="6"/>
        <v>111938750</v>
      </c>
      <c r="K27" s="123">
        <f t="shared" si="7"/>
        <v>5373060000</v>
      </c>
      <c r="L27" s="180">
        <f t="shared" si="8"/>
        <v>45689285.714285716</v>
      </c>
      <c r="M27" s="181">
        <f>J27*11+'2020 stari saziv i zakon '!J27</f>
        <v>1326701250</v>
      </c>
      <c r="N27" s="162">
        <f>SUM(N20:N26)</f>
        <v>1301871020.1400001</v>
      </c>
      <c r="O27" s="162">
        <f t="shared" si="9"/>
        <v>-24830229.859999895</v>
      </c>
      <c r="P27" s="2">
        <f>I27-N27</f>
        <v>41393979.859999895</v>
      </c>
      <c r="Q27" s="80">
        <f>P27/N27</f>
        <v>3.1795761039022499E-2</v>
      </c>
      <c r="R27" s="120" t="s">
        <v>130</v>
      </c>
      <c r="S27" s="79">
        <f t="shared" si="10"/>
        <v>1455203750</v>
      </c>
      <c r="T27" s="1">
        <v>30000000</v>
      </c>
      <c r="U27" s="79" t="s">
        <v>153</v>
      </c>
    </row>
    <row r="28" spans="1:21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T28" s="1">
        <v>34060000</v>
      </c>
      <c r="U28" s="79" t="s">
        <v>154</v>
      </c>
    </row>
    <row r="29" spans="1:21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T29" s="1">
        <v>6395000</v>
      </c>
      <c r="U29" s="79" t="s">
        <v>155</v>
      </c>
    </row>
    <row r="30" spans="1:21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T30" s="171">
        <v>4254424.72</v>
      </c>
      <c r="U30" s="171" t="s">
        <v>199</v>
      </c>
    </row>
    <row r="31" spans="1:21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T31" s="182">
        <v>5120825.72</v>
      </c>
      <c r="U31" s="171" t="s">
        <v>200</v>
      </c>
    </row>
    <row r="32" spans="1:21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79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F734-5AE4-4EE1-8522-C3B6807A3866}">
  <dimension ref="A1:S61"/>
  <sheetViews>
    <sheetView workbookViewId="0">
      <selection activeCell="D22" sqref="D22"/>
    </sheetView>
  </sheetViews>
  <sheetFormatPr defaultColWidth="9.109375" defaultRowHeight="14.4" x14ac:dyDescent="0.3"/>
  <cols>
    <col min="1" max="1" width="24.5546875" style="171" customWidth="1"/>
    <col min="2" max="2" width="21.6640625" style="171" customWidth="1"/>
    <col min="3" max="3" width="57.109375" style="171" customWidth="1"/>
    <col min="4" max="5" width="37.6640625" style="171" customWidth="1"/>
    <col min="6" max="6" width="22.44140625" style="171" customWidth="1"/>
    <col min="7" max="7" width="18.5546875" style="171" customWidth="1"/>
    <col min="8" max="8" width="27.6640625" style="171" customWidth="1"/>
    <col min="9" max="9" width="15.44140625" style="171" bestFit="1" customWidth="1"/>
    <col min="10" max="10" width="15.44140625" style="171" customWidth="1"/>
    <col min="11" max="11" width="15.44140625" style="171" bestFit="1" customWidth="1"/>
    <col min="12" max="12" width="12.6640625" style="171" bestFit="1" customWidth="1"/>
    <col min="13" max="13" width="3.44140625" style="171" customWidth="1"/>
    <col min="14" max="14" width="17.88671875" style="171" customWidth="1"/>
    <col min="15" max="15" width="45.33203125" style="171" customWidth="1"/>
    <col min="16" max="16" width="12.109375" style="171" customWidth="1"/>
    <col min="17" max="17" width="12" style="171" bestFit="1" customWidth="1"/>
    <col min="18" max="18" width="21" style="171" customWidth="1"/>
    <col min="19" max="16384" width="9.109375" style="171"/>
  </cols>
  <sheetData>
    <row r="1" spans="1:8" x14ac:dyDescent="0.3">
      <c r="A1" s="211" t="s">
        <v>190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</row>
    <row r="3" spans="1:8" x14ac:dyDescent="0.3">
      <c r="A3" s="164">
        <v>1090000000000</v>
      </c>
      <c r="B3" s="25">
        <f>A3/117.647</f>
        <v>9265004632.5023155</v>
      </c>
      <c r="C3" s="26" t="s">
        <v>202</v>
      </c>
    </row>
    <row r="4" spans="1:8" x14ac:dyDescent="0.3">
      <c r="A4" s="24">
        <f>A3/10000*10.5</f>
        <v>1144500000</v>
      </c>
      <c r="B4" s="25">
        <f t="shared" ref="B4:B6" si="0">A4/117.647</f>
        <v>9728254.8641274311</v>
      </c>
      <c r="C4" s="26" t="s">
        <v>203</v>
      </c>
      <c r="E4" s="172"/>
      <c r="F4" s="173" t="s">
        <v>175</v>
      </c>
      <c r="G4" s="173" t="s">
        <v>176</v>
      </c>
      <c r="H4" s="173" t="s">
        <v>177</v>
      </c>
    </row>
    <row r="5" spans="1:8" ht="15.6" x14ac:dyDescent="0.3">
      <c r="A5" s="97">
        <f>G27</f>
        <v>2861214.9000000004</v>
      </c>
      <c r="B5" s="98">
        <f>A5</f>
        <v>2861214.9000000004</v>
      </c>
      <c r="C5" s="23" t="s">
        <v>122</v>
      </c>
      <c r="E5" s="173" t="s">
        <v>178</v>
      </c>
      <c r="F5" s="176" t="s">
        <v>179</v>
      </c>
      <c r="G5" s="176" t="s">
        <v>180</v>
      </c>
      <c r="H5" s="176" t="s">
        <v>181</v>
      </c>
    </row>
    <row r="6" spans="1:8" ht="15.6" x14ac:dyDescent="0.3">
      <c r="A6" s="27">
        <f>A4/A5</f>
        <v>400.00490700646071</v>
      </c>
      <c r="B6" s="28">
        <f t="shared" si="0"/>
        <v>3.4000434095766208</v>
      </c>
      <c r="C6" s="29" t="s">
        <v>123</v>
      </c>
      <c r="E6" s="174" t="s">
        <v>182</v>
      </c>
      <c r="F6" s="175" t="s">
        <v>183</v>
      </c>
      <c r="G6" s="175" t="s">
        <v>184</v>
      </c>
      <c r="H6" s="175" t="s">
        <v>185</v>
      </c>
    </row>
    <row r="7" spans="1:8" ht="16.2" thickBot="1" x14ac:dyDescent="0.35">
      <c r="A7" s="8"/>
      <c r="B7" s="9"/>
      <c r="C7" s="7"/>
      <c r="E7" s="177" t="s">
        <v>186</v>
      </c>
      <c r="F7" s="176" t="s">
        <v>187</v>
      </c>
      <c r="G7" s="176" t="s">
        <v>188</v>
      </c>
      <c r="H7" s="176" t="s">
        <v>188</v>
      </c>
    </row>
    <row r="8" spans="1:8" x14ac:dyDescent="0.3">
      <c r="A8" s="3"/>
      <c r="B8" s="3"/>
      <c r="C8" s="43"/>
    </row>
    <row r="17" spans="1:19" x14ac:dyDescent="0.3">
      <c r="N17" s="130" t="s">
        <v>150</v>
      </c>
    </row>
    <row r="18" spans="1:19" ht="15" thickBot="1" x14ac:dyDescent="0.35">
      <c r="N18" s="130"/>
    </row>
    <row r="19" spans="1:19" ht="44.4" x14ac:dyDescent="0.4">
      <c r="A19" s="100" t="s">
        <v>102</v>
      </c>
      <c r="B19" s="101" t="s">
        <v>115</v>
      </c>
      <c r="C19" s="101" t="s">
        <v>116</v>
      </c>
      <c r="D19" s="101" t="s">
        <v>147</v>
      </c>
      <c r="E19" s="101" t="s">
        <v>148</v>
      </c>
      <c r="F19" s="101" t="s">
        <v>149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02" t="s">
        <v>120</v>
      </c>
      <c r="N19" s="160" t="s">
        <v>172</v>
      </c>
      <c r="O19" s="161" t="s">
        <v>173</v>
      </c>
      <c r="P19" s="177" t="s">
        <v>174</v>
      </c>
    </row>
    <row r="20" spans="1:19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155030.40000000002</v>
      </c>
      <c r="E20" s="2">
        <f>D20*1.5</f>
        <v>232545.60000000003</v>
      </c>
      <c r="F20" s="2">
        <f>C20-D20</f>
        <v>1798967.6</v>
      </c>
      <c r="G20" s="2">
        <f>E20+F20</f>
        <v>2031513.2000000002</v>
      </c>
      <c r="H20" s="2">
        <f>A6</f>
        <v>400.00490700646071</v>
      </c>
      <c r="I20" s="2">
        <f>G20*H20</f>
        <v>812615248.64839745</v>
      </c>
      <c r="J20" s="2">
        <f>I20/12</f>
        <v>67717937.387366459</v>
      </c>
      <c r="K20" s="2">
        <f>I20*4</f>
        <v>3250460994.5935898</v>
      </c>
      <c r="L20" s="5">
        <f>K20/117.6</f>
        <v>27639974.443823043</v>
      </c>
      <c r="N20" s="162">
        <f>R20+R27+R28</f>
        <v>974284089.70000005</v>
      </c>
      <c r="O20" s="2">
        <f t="shared" ref="O20:O26" si="1">I20-N20</f>
        <v>-161668841.0516026</v>
      </c>
      <c r="P20" s="172">
        <f t="shared" ref="P20:P26" si="2">O20/N20</f>
        <v>-0.1659360373024088</v>
      </c>
      <c r="Q20" s="171">
        <f>J20*13</f>
        <v>880333186.03576398</v>
      </c>
      <c r="R20" s="1">
        <v>910224089.70000005</v>
      </c>
      <c r="S20" s="171" t="s">
        <v>63</v>
      </c>
    </row>
    <row r="21" spans="1:19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155030.40000000002</v>
      </c>
      <c r="E21" s="2">
        <f>D21*1.5</f>
        <v>232545.60000000003</v>
      </c>
      <c r="F21" s="2">
        <f t="shared" ref="F21" si="3">C21-D21</f>
        <v>179302.59999999998</v>
      </c>
      <c r="G21" s="2">
        <f t="shared" ref="G21:G26" si="4">E21+F21</f>
        <v>411848.2</v>
      </c>
      <c r="H21" s="2">
        <f>A6</f>
        <v>400.00490700646071</v>
      </c>
      <c r="I21" s="2">
        <f t="shared" ref="I21:I26" si="5">G21*H21</f>
        <v>164741300.94177824</v>
      </c>
      <c r="J21" s="2">
        <f t="shared" ref="J21:J27" si="6">I21/12</f>
        <v>13728441.745148188</v>
      </c>
      <c r="K21" s="2">
        <f t="shared" ref="K21:K27" si="7">I21*4</f>
        <v>658965203.76711297</v>
      </c>
      <c r="L21" s="5">
        <f t="shared" ref="L21:L27" si="8">K21/117.6</f>
        <v>5603445.6102645667</v>
      </c>
      <c r="N21" s="162">
        <f>R21+R22</f>
        <v>183758656</v>
      </c>
      <c r="O21" s="2">
        <f t="shared" si="1"/>
        <v>-19017355.058221757</v>
      </c>
      <c r="P21" s="172">
        <f t="shared" si="2"/>
        <v>-0.10349093464321897</v>
      </c>
      <c r="Q21" s="171">
        <f t="shared" ref="Q21:Q27" si="9">J21*13</f>
        <v>178469742.68692642</v>
      </c>
      <c r="R21" s="1">
        <v>137818990.5</v>
      </c>
      <c r="S21" s="171" t="s">
        <v>83</v>
      </c>
    </row>
    <row r="22" spans="1:19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155030.40000000002</v>
      </c>
      <c r="E22" s="2">
        <f>C22*1.5</f>
        <v>107839.5</v>
      </c>
      <c r="F22" s="2">
        <v>0</v>
      </c>
      <c r="G22" s="2">
        <f t="shared" si="4"/>
        <v>107839.5</v>
      </c>
      <c r="H22" s="2">
        <f>A6</f>
        <v>400.00490700646071</v>
      </c>
      <c r="I22" s="2">
        <f t="shared" si="5"/>
        <v>43136329.169123217</v>
      </c>
      <c r="J22" s="2">
        <f t="shared" si="6"/>
        <v>3594694.0974269346</v>
      </c>
      <c r="K22" s="2">
        <f t="shared" si="7"/>
        <v>172545316.67649287</v>
      </c>
      <c r="L22" s="5">
        <f t="shared" si="8"/>
        <v>1467222.0805824224</v>
      </c>
      <c r="N22" s="162">
        <v>51984357</v>
      </c>
      <c r="O22" s="2">
        <f t="shared" si="1"/>
        <v>-8848027.8308767825</v>
      </c>
      <c r="P22" s="172">
        <f t="shared" si="2"/>
        <v>-0.17020558378507564</v>
      </c>
      <c r="Q22" s="171">
        <f t="shared" si="9"/>
        <v>46731023.266550153</v>
      </c>
      <c r="R22" s="1">
        <v>45939665.5</v>
      </c>
      <c r="S22" s="171" t="s">
        <v>151</v>
      </c>
    </row>
    <row r="23" spans="1:19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155030.40000000002</v>
      </c>
      <c r="E23" s="2">
        <f>C23*1.5</f>
        <v>48255</v>
      </c>
      <c r="F23" s="2">
        <v>0</v>
      </c>
      <c r="G23" s="2">
        <f t="shared" si="4"/>
        <v>48255</v>
      </c>
      <c r="H23" s="2">
        <f>A6</f>
        <v>400.00490700646071</v>
      </c>
      <c r="I23" s="2">
        <f t="shared" si="5"/>
        <v>19302236.787596762</v>
      </c>
      <c r="J23" s="2">
        <f t="shared" si="6"/>
        <v>1608519.7322997302</v>
      </c>
      <c r="K23" s="2">
        <f t="shared" si="7"/>
        <v>77208947.150387049</v>
      </c>
      <c r="L23" s="5">
        <f t="shared" si="8"/>
        <v>656538.66624478786</v>
      </c>
      <c r="N23" s="162">
        <v>23238483</v>
      </c>
      <c r="O23" s="2">
        <f t="shared" si="1"/>
        <v>-3936246.2124032378</v>
      </c>
      <c r="P23" s="172">
        <f t="shared" si="2"/>
        <v>-0.16938481795060537</v>
      </c>
      <c r="Q23" s="171">
        <f t="shared" si="9"/>
        <v>20910756.519896492</v>
      </c>
      <c r="R23" s="1">
        <v>51984357</v>
      </c>
      <c r="S23" s="171" t="s">
        <v>85</v>
      </c>
    </row>
    <row r="24" spans="1:19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155030.40000000002</v>
      </c>
      <c r="E24" s="2">
        <f>C24*1.5</f>
        <v>185089.5</v>
      </c>
      <c r="F24" s="2">
        <v>0</v>
      </c>
      <c r="G24" s="2">
        <f t="shared" si="4"/>
        <v>185089.5</v>
      </c>
      <c r="H24" s="2">
        <f>A6</f>
        <v>400.00490700646071</v>
      </c>
      <c r="I24" s="2">
        <f t="shared" si="5"/>
        <v>74036708.235372305</v>
      </c>
      <c r="J24" s="2">
        <f t="shared" si="6"/>
        <v>6169725.6862810254</v>
      </c>
      <c r="K24" s="2">
        <f t="shared" si="7"/>
        <v>296146832.94148922</v>
      </c>
      <c r="L24" s="5">
        <f t="shared" si="8"/>
        <v>2518255.3821555208</v>
      </c>
      <c r="N24" s="162">
        <v>34969757</v>
      </c>
      <c r="O24" s="2">
        <f t="shared" si="1"/>
        <v>39066951.235372305</v>
      </c>
      <c r="P24" s="172">
        <f t="shared" si="2"/>
        <v>1.1171639321191824</v>
      </c>
      <c r="Q24" s="171">
        <f t="shared" si="9"/>
        <v>80206433.92165333</v>
      </c>
      <c r="R24" s="1">
        <v>17865427</v>
      </c>
      <c r="S24" s="171" t="s">
        <v>87</v>
      </c>
    </row>
    <row r="25" spans="1:19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155030.40000000002</v>
      </c>
      <c r="E25" s="2">
        <f t="shared" ref="E25:E26" si="10">C25*1.5</f>
        <v>37014</v>
      </c>
      <c r="F25" s="2">
        <v>0</v>
      </c>
      <c r="G25" s="2">
        <f t="shared" si="4"/>
        <v>37014</v>
      </c>
      <c r="H25" s="2">
        <f>A6</f>
        <v>400.00490700646071</v>
      </c>
      <c r="I25" s="2">
        <f t="shared" si="5"/>
        <v>14805781.627937136</v>
      </c>
      <c r="J25" s="2">
        <f t="shared" si="6"/>
        <v>1233815.1356614281</v>
      </c>
      <c r="K25" s="2">
        <f t="shared" si="7"/>
        <v>59223126.511748545</v>
      </c>
      <c r="L25" s="5">
        <f t="shared" si="8"/>
        <v>503598.01455568493</v>
      </c>
      <c r="N25" s="162">
        <v>17865427</v>
      </c>
      <c r="O25" s="2">
        <f t="shared" si="1"/>
        <v>-3059645.3720628638</v>
      </c>
      <c r="P25" s="172">
        <f t="shared" si="2"/>
        <v>-0.1712606909458623</v>
      </c>
      <c r="Q25" s="171">
        <f t="shared" si="9"/>
        <v>16039596.763598565</v>
      </c>
      <c r="R25" s="1">
        <v>34969757</v>
      </c>
      <c r="S25" s="171" t="s">
        <v>131</v>
      </c>
    </row>
    <row r="26" spans="1:19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155030.40000000002</v>
      </c>
      <c r="E26" s="2">
        <f t="shared" si="10"/>
        <v>39655.5</v>
      </c>
      <c r="F26" s="2">
        <v>0</v>
      </c>
      <c r="G26" s="2">
        <f t="shared" si="4"/>
        <v>39655.5</v>
      </c>
      <c r="H26" s="2">
        <f>A6</f>
        <v>400.00490700646071</v>
      </c>
      <c r="I26" s="2">
        <f t="shared" si="5"/>
        <v>15862394.589794703</v>
      </c>
      <c r="J26" s="2">
        <f t="shared" si="6"/>
        <v>1321866.2158162252</v>
      </c>
      <c r="K26" s="2">
        <f t="shared" si="7"/>
        <v>63449578.359178811</v>
      </c>
      <c r="L26" s="5">
        <f t="shared" si="8"/>
        <v>539537.2309453981</v>
      </c>
      <c r="N26" s="162">
        <f>R29+R30+R31</f>
        <v>15770250.439999998</v>
      </c>
      <c r="O26" s="2">
        <f t="shared" si="1"/>
        <v>92144.149794705212</v>
      </c>
      <c r="P26" s="172">
        <f t="shared" si="2"/>
        <v>5.8429097334427131E-3</v>
      </c>
      <c r="Q26" s="171">
        <f t="shared" si="9"/>
        <v>17184260.805610929</v>
      </c>
      <c r="R26" s="1">
        <v>23238483</v>
      </c>
      <c r="S26" s="171" t="s">
        <v>152</v>
      </c>
    </row>
    <row r="27" spans="1:19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2861214.9000000004</v>
      </c>
      <c r="H27" s="123"/>
      <c r="I27" s="123">
        <f>SUM(I20:I26)</f>
        <v>1144499999.9999995</v>
      </c>
      <c r="J27" s="123">
        <f t="shared" si="6"/>
        <v>95374999.999999955</v>
      </c>
      <c r="K27" s="123">
        <f t="shared" si="7"/>
        <v>4577999999.9999981</v>
      </c>
      <c r="L27" s="124">
        <f t="shared" si="8"/>
        <v>38928571.428571418</v>
      </c>
      <c r="N27" s="162">
        <f>SUM(N20:N26)</f>
        <v>1301871020.1400001</v>
      </c>
      <c r="O27" s="2">
        <f>I27-N27</f>
        <v>-157371020.14000058</v>
      </c>
      <c r="P27" s="172">
        <f>O27/N27</f>
        <v>-0.12088065384778077</v>
      </c>
      <c r="Q27" s="171">
        <f t="shared" si="9"/>
        <v>1239874999.9999995</v>
      </c>
      <c r="R27" s="1">
        <v>30000000</v>
      </c>
      <c r="S27" s="171" t="s">
        <v>153</v>
      </c>
    </row>
    <row r="28" spans="1:19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  <c r="R28" s="1">
        <v>34060000</v>
      </c>
      <c r="S28" s="171" t="s">
        <v>154</v>
      </c>
    </row>
    <row r="29" spans="1:19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  <c r="R29" s="1">
        <v>6395000</v>
      </c>
      <c r="S29" s="171" t="s">
        <v>155</v>
      </c>
    </row>
    <row r="30" spans="1:19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  <c r="R30" s="171">
        <v>4254424.72</v>
      </c>
      <c r="S30" s="171" t="s">
        <v>199</v>
      </c>
    </row>
    <row r="31" spans="1:19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  <c r="R31" s="182">
        <v>5120825.72</v>
      </c>
      <c r="S31" s="171" t="s">
        <v>200</v>
      </c>
    </row>
    <row r="32" spans="1:19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146</v>
      </c>
      <c r="C44" s="103">
        <f>C43/100*5</f>
        <v>155030.40000000002</v>
      </c>
    </row>
    <row r="45" spans="1:3" ht="20.399999999999999" x14ac:dyDescent="0.45">
      <c r="B45" s="171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44A9-C1ED-4D7E-A67E-322D1754281C}">
  <dimension ref="A1:L61"/>
  <sheetViews>
    <sheetView workbookViewId="0">
      <selection activeCell="A3" sqref="A3"/>
    </sheetView>
  </sheetViews>
  <sheetFormatPr defaultColWidth="9.109375" defaultRowHeight="14.4" x14ac:dyDescent="0.3"/>
  <cols>
    <col min="1" max="1" width="24.5546875" style="79" customWidth="1"/>
    <col min="2" max="2" width="21.6640625" style="79" customWidth="1"/>
    <col min="3" max="3" width="57.109375" style="79" customWidth="1"/>
    <col min="4" max="5" width="37.6640625" style="79" customWidth="1"/>
    <col min="6" max="6" width="22.44140625" style="79" customWidth="1"/>
    <col min="7" max="7" width="11.6640625" style="79" bestFit="1" customWidth="1"/>
    <col min="8" max="8" width="9.33203125" style="79" bestFit="1" customWidth="1"/>
    <col min="9" max="9" width="15.44140625" style="79" bestFit="1" customWidth="1"/>
    <col min="10" max="10" width="15.44140625" style="79" customWidth="1"/>
    <col min="11" max="11" width="15.44140625" style="79" bestFit="1" customWidth="1"/>
    <col min="12" max="12" width="12.6640625" style="79" bestFit="1" customWidth="1"/>
    <col min="13" max="13" width="12" style="79" bestFit="1" customWidth="1"/>
    <col min="14" max="16384" width="9.109375" style="79"/>
  </cols>
  <sheetData>
    <row r="1" spans="1:8" x14ac:dyDescent="0.3">
      <c r="A1" s="211" t="s">
        <v>129</v>
      </c>
      <c r="B1" s="212"/>
      <c r="C1" s="213"/>
    </row>
    <row r="2" spans="1:8" x14ac:dyDescent="0.3">
      <c r="A2" s="33" t="s">
        <v>4</v>
      </c>
      <c r="B2" s="99" t="s">
        <v>5</v>
      </c>
      <c r="C2" s="32" t="s">
        <v>6</v>
      </c>
      <c r="E2" s="172"/>
      <c r="F2" s="173"/>
      <c r="G2" s="173"/>
      <c r="H2" s="173"/>
    </row>
    <row r="3" spans="1:8" ht="15.6" x14ac:dyDescent="0.3">
      <c r="A3" s="24">
        <v>1317900000000</v>
      </c>
      <c r="B3" s="25">
        <f>A3/117.647</f>
        <v>11202155601.077801</v>
      </c>
      <c r="C3" s="26" t="s">
        <v>0</v>
      </c>
      <c r="D3" s="128"/>
      <c r="E3" s="173"/>
      <c r="F3" s="176"/>
      <c r="G3" s="176"/>
      <c r="H3" s="176"/>
    </row>
    <row r="4" spans="1:8" ht="15.6" x14ac:dyDescent="0.3">
      <c r="A4" s="24">
        <f>A3/10000*10.5</f>
        <v>1383795000</v>
      </c>
      <c r="B4" s="25">
        <f t="shared" ref="B4:B6" si="0">A4/117.647</f>
        <v>11762263.38113169</v>
      </c>
      <c r="C4" s="26" t="s">
        <v>114</v>
      </c>
      <c r="E4" s="174"/>
      <c r="F4" s="175"/>
      <c r="G4" s="175"/>
      <c r="H4" s="175"/>
    </row>
    <row r="5" spans="1:8" ht="15.6" x14ac:dyDescent="0.3">
      <c r="A5" s="97">
        <f>G27</f>
        <v>2784015.3600000003</v>
      </c>
      <c r="B5" s="98">
        <f>A5</f>
        <v>2784015.3600000003</v>
      </c>
      <c r="C5" s="23" t="s">
        <v>122</v>
      </c>
      <c r="E5" s="177"/>
      <c r="F5" s="176"/>
      <c r="G5" s="176"/>
      <c r="H5" s="176"/>
    </row>
    <row r="6" spans="1:8" x14ac:dyDescent="0.3">
      <c r="A6" s="27">
        <f>A4/A5</f>
        <v>497.05005937898267</v>
      </c>
      <c r="B6" s="28">
        <f t="shared" si="0"/>
        <v>4.2249276171851609</v>
      </c>
      <c r="C6" s="29" t="s">
        <v>123</v>
      </c>
    </row>
    <row r="7" spans="1:8" ht="15" thickBot="1" x14ac:dyDescent="0.35">
      <c r="A7" s="8"/>
      <c r="B7" s="9"/>
      <c r="C7" s="7"/>
    </row>
    <row r="8" spans="1:8" x14ac:dyDescent="0.3">
      <c r="A8" s="3"/>
      <c r="B8" s="3"/>
      <c r="C8" s="43"/>
    </row>
    <row r="18" spans="1:12" ht="15" thickBot="1" x14ac:dyDescent="0.35"/>
    <row r="19" spans="1:12" ht="67.2" x14ac:dyDescent="0.4">
      <c r="A19" s="100" t="s">
        <v>102</v>
      </c>
      <c r="B19" s="101" t="s">
        <v>115</v>
      </c>
      <c r="C19" s="101" t="s">
        <v>116</v>
      </c>
      <c r="D19" s="101" t="s">
        <v>125</v>
      </c>
      <c r="E19" s="101" t="s">
        <v>126</v>
      </c>
      <c r="F19" s="101" t="s">
        <v>127</v>
      </c>
      <c r="G19" s="101" t="s">
        <v>128</v>
      </c>
      <c r="H19" s="101" t="s">
        <v>117</v>
      </c>
      <c r="I19" s="101" t="s">
        <v>118</v>
      </c>
      <c r="J19" s="101" t="s">
        <v>121</v>
      </c>
      <c r="K19" s="101" t="s">
        <v>119</v>
      </c>
      <c r="L19" s="102" t="s">
        <v>120</v>
      </c>
    </row>
    <row r="20" spans="1:12" ht="61.2" x14ac:dyDescent="0.45">
      <c r="A20" s="94" t="s">
        <v>109</v>
      </c>
      <c r="B20" s="106">
        <f>C20/C43</f>
        <v>0.63019833529423908</v>
      </c>
      <c r="C20" s="105">
        <v>1953998</v>
      </c>
      <c r="D20" s="2">
        <f>C44</f>
        <v>93018.240000000005</v>
      </c>
      <c r="E20" s="2">
        <f>D20*1.5</f>
        <v>139527.36000000002</v>
      </c>
      <c r="F20" s="2">
        <f>C20-D20</f>
        <v>1860979.76</v>
      </c>
      <c r="G20" s="2">
        <f>E20+F20</f>
        <v>2000507.12</v>
      </c>
      <c r="H20" s="2">
        <f>A6</f>
        <v>497.05005937898267</v>
      </c>
      <c r="I20" s="2">
        <f>G20*H20</f>
        <v>994352182.78407764</v>
      </c>
      <c r="J20" s="2">
        <f>I20/12</f>
        <v>82862681.898673132</v>
      </c>
      <c r="K20" s="2">
        <f>I20*4</f>
        <v>3977408731.1363106</v>
      </c>
      <c r="L20" s="5">
        <f>K20/117.6</f>
        <v>33821502.815784954</v>
      </c>
    </row>
    <row r="21" spans="1:12" ht="40.799999999999997" x14ac:dyDescent="0.45">
      <c r="A21" s="94" t="s">
        <v>110</v>
      </c>
      <c r="B21" s="106">
        <f>C21/C43</f>
        <v>0.10782820659689971</v>
      </c>
      <c r="C21" s="105">
        <v>334333</v>
      </c>
      <c r="D21" s="2">
        <f>C44</f>
        <v>93018.240000000005</v>
      </c>
      <c r="E21" s="2">
        <f>D21*1.5</f>
        <v>139527.36000000002</v>
      </c>
      <c r="F21" s="2">
        <f t="shared" ref="F21" si="1">C21-D21</f>
        <v>241314.76</v>
      </c>
      <c r="G21" s="2">
        <f t="shared" ref="G21:G26" si="2">E21+F21</f>
        <v>380842.12</v>
      </c>
      <c r="H21" s="2">
        <f>A6</f>
        <v>497.05005937898267</v>
      </c>
      <c r="I21" s="2">
        <f t="shared" ref="I21:I26" si="3">G21*H21</f>
        <v>189297598.36001763</v>
      </c>
      <c r="J21" s="2">
        <f t="shared" ref="J21:J27" si="4">I21/12</f>
        <v>15774799.863334803</v>
      </c>
      <c r="K21" s="2">
        <f t="shared" ref="K21:K27" si="5">I21*4</f>
        <v>757190393.44007051</v>
      </c>
      <c r="L21" s="5">
        <f t="shared" ref="L21:L27" si="6">K21/117.6</f>
        <v>6438693.8217693074</v>
      </c>
    </row>
    <row r="22" spans="1:12" ht="61.2" x14ac:dyDescent="0.45">
      <c r="A22" s="94" t="s">
        <v>111</v>
      </c>
      <c r="B22" s="106">
        <f>C22/C43</f>
        <v>2.3186742729167958E-2</v>
      </c>
      <c r="C22" s="105">
        <v>71893</v>
      </c>
      <c r="D22" s="2">
        <f>C44</f>
        <v>93018.240000000005</v>
      </c>
      <c r="E22" s="2">
        <f>C22*1.5</f>
        <v>107839.5</v>
      </c>
      <c r="F22" s="2">
        <v>0</v>
      </c>
      <c r="G22" s="2">
        <f t="shared" si="2"/>
        <v>107839.5</v>
      </c>
      <c r="H22" s="2">
        <f>A6</f>
        <v>497.05005937898267</v>
      </c>
      <c r="I22" s="2">
        <f t="shared" si="3"/>
        <v>53601629.878399804</v>
      </c>
      <c r="J22" s="2">
        <f t="shared" si="4"/>
        <v>4466802.4898666507</v>
      </c>
      <c r="K22" s="2">
        <f t="shared" si="5"/>
        <v>214406519.51359922</v>
      </c>
      <c r="L22" s="5">
        <f t="shared" si="6"/>
        <v>1823184.6897414899</v>
      </c>
    </row>
    <row r="23" spans="1:12" ht="268.8" x14ac:dyDescent="0.45">
      <c r="A23" s="94" t="s">
        <v>132</v>
      </c>
      <c r="B23" s="106">
        <f>C23/C43</f>
        <v>1.0375384440729045E-2</v>
      </c>
      <c r="C23" s="105">
        <v>32170</v>
      </c>
      <c r="D23" s="2">
        <f>C44</f>
        <v>93018.240000000005</v>
      </c>
      <c r="E23" s="2">
        <f>C23*1.5</f>
        <v>48255</v>
      </c>
      <c r="F23" s="2">
        <v>0</v>
      </c>
      <c r="G23" s="2">
        <f t="shared" si="2"/>
        <v>48255</v>
      </c>
      <c r="H23" s="2">
        <f>A6</f>
        <v>497.05005937898267</v>
      </c>
      <c r="I23" s="2">
        <f t="shared" si="3"/>
        <v>23985150.615332808</v>
      </c>
      <c r="J23" s="2">
        <f t="shared" si="4"/>
        <v>1998762.5512777341</v>
      </c>
      <c r="K23" s="2">
        <f t="shared" si="5"/>
        <v>95940602.461331233</v>
      </c>
      <c r="L23" s="5">
        <f t="shared" si="6"/>
        <v>815821.44950111595</v>
      </c>
    </row>
    <row r="24" spans="1:12" ht="20.399999999999999" x14ac:dyDescent="0.45">
      <c r="A24" s="94" t="s">
        <v>131</v>
      </c>
      <c r="B24" s="106">
        <f>C24/C43</f>
        <v>3.9796388321258279E-2</v>
      </c>
      <c r="C24" s="105">
        <v>123393</v>
      </c>
      <c r="D24" s="2">
        <f>C44</f>
        <v>93018.240000000005</v>
      </c>
      <c r="E24" s="2">
        <f>D24*1.5</f>
        <v>139527.36000000002</v>
      </c>
      <c r="F24" s="2">
        <f>C24-D24</f>
        <v>30374.759999999995</v>
      </c>
      <c r="G24" s="2">
        <f t="shared" si="2"/>
        <v>169902.12</v>
      </c>
      <c r="H24" s="2">
        <f>A6</f>
        <v>497.05005937898267</v>
      </c>
      <c r="I24" s="2">
        <f t="shared" si="3"/>
        <v>84449858.834615037</v>
      </c>
      <c r="J24" s="2">
        <f t="shared" si="4"/>
        <v>7037488.2362179197</v>
      </c>
      <c r="K24" s="2">
        <f t="shared" si="5"/>
        <v>337799435.33846015</v>
      </c>
      <c r="L24" s="5">
        <f t="shared" si="6"/>
        <v>2872444.1780481306</v>
      </c>
    </row>
    <row r="25" spans="1:12" ht="40.799999999999997" x14ac:dyDescent="0.45">
      <c r="A25" s="94" t="s">
        <v>112</v>
      </c>
      <c r="B25" s="106">
        <f>C25/C43</f>
        <v>7.9584391190372986E-3</v>
      </c>
      <c r="C25" s="105">
        <v>24676</v>
      </c>
      <c r="D25" s="2">
        <f>C44</f>
        <v>93018.240000000005</v>
      </c>
      <c r="E25" s="2">
        <f t="shared" ref="E25:E26" si="7">C25*1.5</f>
        <v>37014</v>
      </c>
      <c r="F25" s="2">
        <v>0</v>
      </c>
      <c r="G25" s="2">
        <f t="shared" si="2"/>
        <v>37014</v>
      </c>
      <c r="H25" s="2">
        <f>A6</f>
        <v>497.05005937898267</v>
      </c>
      <c r="I25" s="2">
        <f t="shared" si="3"/>
        <v>18397810.897853665</v>
      </c>
      <c r="J25" s="2">
        <f t="shared" si="4"/>
        <v>1533150.908154472</v>
      </c>
      <c r="K25" s="2">
        <f t="shared" si="5"/>
        <v>73591243.59141466</v>
      </c>
      <c r="L25" s="5">
        <f t="shared" si="6"/>
        <v>625775.88087937643</v>
      </c>
    </row>
    <row r="26" spans="1:12" ht="40.799999999999997" x14ac:dyDescent="0.45">
      <c r="A26" s="94" t="s">
        <v>113</v>
      </c>
      <c r="B26" s="106">
        <f>C26/C43</f>
        <v>8.5263922430697456E-3</v>
      </c>
      <c r="C26" s="105">
        <v>26437</v>
      </c>
      <c r="D26" s="2">
        <f>C44</f>
        <v>93018.240000000005</v>
      </c>
      <c r="E26" s="2">
        <f t="shared" si="7"/>
        <v>39655.5</v>
      </c>
      <c r="F26" s="2">
        <v>0</v>
      </c>
      <c r="G26" s="2">
        <f t="shared" si="2"/>
        <v>39655.5</v>
      </c>
      <c r="H26" s="2">
        <f>A6</f>
        <v>497.05005937898267</v>
      </c>
      <c r="I26" s="2">
        <f t="shared" si="3"/>
        <v>19710768.629703246</v>
      </c>
      <c r="J26" s="2">
        <f t="shared" si="4"/>
        <v>1642564.0524752706</v>
      </c>
      <c r="K26" s="2">
        <f t="shared" si="5"/>
        <v>78843074.518812984</v>
      </c>
      <c r="L26" s="5">
        <f t="shared" si="6"/>
        <v>670434.30713276356</v>
      </c>
    </row>
    <row r="27" spans="1:12" s="125" customFormat="1" ht="21" thickBot="1" x14ac:dyDescent="0.5">
      <c r="A27" s="120" t="s">
        <v>130</v>
      </c>
      <c r="B27" s="121">
        <f>SUM(B20:B26)</f>
        <v>0.82786988874440115</v>
      </c>
      <c r="C27" s="122">
        <f>SUM(C20:C26)</f>
        <v>2566900</v>
      </c>
      <c r="D27" s="123"/>
      <c r="E27" s="123"/>
      <c r="F27" s="123"/>
      <c r="G27" s="123">
        <f>SUM(G20:G26)</f>
        <v>2784015.3600000003</v>
      </c>
      <c r="H27" s="123"/>
      <c r="I27" s="123">
        <f>SUM(I20:I26)</f>
        <v>1383794999.9999998</v>
      </c>
      <c r="J27" s="123">
        <f t="shared" si="4"/>
        <v>115316249.99999999</v>
      </c>
      <c r="K27" s="123">
        <f t="shared" si="5"/>
        <v>5535179999.999999</v>
      </c>
      <c r="L27" s="124">
        <f t="shared" si="6"/>
        <v>47067857.142857134</v>
      </c>
    </row>
    <row r="28" spans="1:12" ht="43.2" customHeight="1" thickTop="1" x14ac:dyDescent="0.45">
      <c r="A28" s="108"/>
      <c r="B28" s="126"/>
      <c r="C28" s="127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20.399999999999999" x14ac:dyDescent="0.45">
      <c r="A29" s="111" t="s">
        <v>144</v>
      </c>
      <c r="B29" s="112"/>
      <c r="C29" s="113">
        <v>85888</v>
      </c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20.399999999999999" x14ac:dyDescent="0.45">
      <c r="A30" s="114" t="s">
        <v>68</v>
      </c>
      <c r="B30" s="109"/>
      <c r="C30" s="115">
        <v>73953</v>
      </c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20.399999999999999" x14ac:dyDescent="0.45">
      <c r="A31" s="114" t="s">
        <v>143</v>
      </c>
      <c r="B31" s="109"/>
      <c r="C31" s="115">
        <v>72085</v>
      </c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20.399999999999999" x14ac:dyDescent="0.45">
      <c r="A32" s="114" t="s">
        <v>89</v>
      </c>
      <c r="B32" s="116"/>
      <c r="C32" s="115">
        <v>65954</v>
      </c>
      <c r="D32" s="1"/>
      <c r="E32" s="1"/>
      <c r="F32" s="1"/>
      <c r="G32" s="1"/>
      <c r="H32" s="1"/>
      <c r="I32" s="1"/>
      <c r="J32" s="1"/>
    </row>
    <row r="33" spans="1:3" ht="20.399999999999999" x14ac:dyDescent="0.45">
      <c r="A33" s="114" t="s">
        <v>142</v>
      </c>
      <c r="B33" s="116"/>
      <c r="C33" s="115">
        <v>50765</v>
      </c>
    </row>
    <row r="34" spans="1:3" ht="20.399999999999999" x14ac:dyDescent="0.45">
      <c r="A34" s="114" t="s">
        <v>67</v>
      </c>
      <c r="B34" s="116"/>
      <c r="C34" s="115">
        <v>45950</v>
      </c>
    </row>
    <row r="35" spans="1:3" ht="20.399999999999999" x14ac:dyDescent="0.45">
      <c r="A35" s="114" t="s">
        <v>141</v>
      </c>
      <c r="B35" s="116"/>
      <c r="C35" s="115">
        <v>33435</v>
      </c>
    </row>
    <row r="36" spans="1:3" ht="20.399999999999999" x14ac:dyDescent="0.45">
      <c r="A36" s="114" t="s">
        <v>139</v>
      </c>
      <c r="B36" s="116"/>
      <c r="C36" s="115">
        <v>30591</v>
      </c>
    </row>
    <row r="37" spans="1:3" ht="20.399999999999999" x14ac:dyDescent="0.45">
      <c r="A37" s="114" t="s">
        <v>140</v>
      </c>
      <c r="B37" s="116"/>
      <c r="C37" s="115">
        <v>22691</v>
      </c>
    </row>
    <row r="38" spans="1:3" ht="20.399999999999999" x14ac:dyDescent="0.45">
      <c r="A38" s="114" t="s">
        <v>138</v>
      </c>
      <c r="B38" s="116"/>
      <c r="C38" s="115">
        <v>20265</v>
      </c>
    </row>
    <row r="39" spans="1:3" ht="20.399999999999999" x14ac:dyDescent="0.45">
      <c r="A39" s="114" t="s">
        <v>137</v>
      </c>
      <c r="B39" s="116"/>
      <c r="C39" s="115">
        <v>10158</v>
      </c>
    </row>
    <row r="40" spans="1:3" ht="20.399999999999999" x14ac:dyDescent="0.45">
      <c r="A40" s="114" t="s">
        <v>136</v>
      </c>
      <c r="B40" s="116"/>
      <c r="C40" s="115">
        <v>7873</v>
      </c>
    </row>
    <row r="41" spans="1:3" ht="20.399999999999999" x14ac:dyDescent="0.45">
      <c r="A41" s="114" t="s">
        <v>135</v>
      </c>
      <c r="B41" s="116"/>
      <c r="C41" s="115">
        <v>7805</v>
      </c>
    </row>
    <row r="42" spans="1:3" ht="20.399999999999999" x14ac:dyDescent="0.45">
      <c r="A42" s="117" t="s">
        <v>134</v>
      </c>
      <c r="B42" s="118"/>
      <c r="C42" s="119">
        <v>6295</v>
      </c>
    </row>
    <row r="43" spans="1:3" ht="40.799999999999997" x14ac:dyDescent="0.4">
      <c r="A43" s="95" t="s">
        <v>124</v>
      </c>
      <c r="B43" s="96"/>
      <c r="C43" s="103">
        <v>3100608</v>
      </c>
    </row>
    <row r="44" spans="1:3" ht="40.799999999999997" x14ac:dyDescent="0.4">
      <c r="A44" s="95" t="s">
        <v>145</v>
      </c>
      <c r="C44" s="103">
        <f>C43/100*3</f>
        <v>93018.240000000005</v>
      </c>
    </row>
    <row r="45" spans="1:3" ht="20.399999999999999" x14ac:dyDescent="0.45">
      <c r="B45" s="79" t="s">
        <v>133</v>
      </c>
      <c r="C45" s="104">
        <f>SUM(C29:C42)</f>
        <v>533708</v>
      </c>
    </row>
    <row r="46" spans="1:3" ht="16.8" x14ac:dyDescent="0.4">
      <c r="C46" s="107">
        <f>C45/C43</f>
        <v>0.17213011125559891</v>
      </c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</sheetData>
  <mergeCells count="1">
    <mergeCell ref="A1:C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5206-983C-489C-BAA3-C35A4146ED89}">
  <dimension ref="A1:M43"/>
  <sheetViews>
    <sheetView topLeftCell="A26" workbookViewId="0">
      <selection activeCell="A29" sqref="A29"/>
    </sheetView>
  </sheetViews>
  <sheetFormatPr defaultColWidth="9.109375" defaultRowHeight="14.4" x14ac:dyDescent="0.3"/>
  <cols>
    <col min="1" max="2" width="24.5546875" style="79" customWidth="1"/>
    <col min="3" max="3" width="21.6640625" style="79" customWidth="1"/>
    <col min="4" max="4" width="57.109375" style="79" customWidth="1"/>
    <col min="5" max="6" width="37.6640625" style="79" customWidth="1"/>
    <col min="7" max="7" width="22.44140625" style="79" customWidth="1"/>
    <col min="8" max="8" width="11.6640625" style="79" bestFit="1" customWidth="1"/>
    <col min="9" max="9" width="9.33203125" style="79" bestFit="1" customWidth="1"/>
    <col min="10" max="10" width="15.44140625" style="79" bestFit="1" customWidth="1"/>
    <col min="11" max="11" width="15.44140625" style="79" customWidth="1"/>
    <col min="12" max="12" width="15.44140625" style="79" bestFit="1" customWidth="1"/>
    <col min="13" max="13" width="12.6640625" style="79" bestFit="1" customWidth="1"/>
    <col min="14" max="14" width="12" style="79" bestFit="1" customWidth="1"/>
    <col min="15" max="16384" width="9.109375" style="79"/>
  </cols>
  <sheetData>
    <row r="1" spans="1:5" x14ac:dyDescent="0.3">
      <c r="A1" s="211" t="s">
        <v>129</v>
      </c>
      <c r="B1" s="214"/>
      <c r="C1" s="212"/>
      <c r="D1" s="213"/>
    </row>
    <row r="2" spans="1:5" x14ac:dyDescent="0.3">
      <c r="A2" s="33" t="s">
        <v>4</v>
      </c>
      <c r="B2" s="144"/>
      <c r="C2" s="99" t="s">
        <v>5</v>
      </c>
      <c r="D2" s="32" t="s">
        <v>6</v>
      </c>
    </row>
    <row r="3" spans="1:5" x14ac:dyDescent="0.3">
      <c r="A3" s="24">
        <v>1317900000000</v>
      </c>
      <c r="B3" s="79">
        <v>1168300000000</v>
      </c>
      <c r="C3" s="25">
        <f>A3/117.647</f>
        <v>11202155601.077801</v>
      </c>
      <c r="D3" s="26" t="s">
        <v>0</v>
      </c>
      <c r="E3" s="79">
        <v>1168300000000</v>
      </c>
    </row>
    <row r="4" spans="1:5" x14ac:dyDescent="0.3">
      <c r="A4" s="24">
        <f>A3/10000*10.5</f>
        <v>1383795000</v>
      </c>
      <c r="B4" s="24">
        <f>B3/10000*10.5</f>
        <v>1226715000</v>
      </c>
      <c r="C4" s="25">
        <f t="shared" ref="C4:C6" si="0">A4/117.647</f>
        <v>11762263.38113169</v>
      </c>
      <c r="D4" s="26" t="s">
        <v>114</v>
      </c>
      <c r="E4" s="79">
        <v>1226715000</v>
      </c>
    </row>
    <row r="5" spans="1:5" x14ac:dyDescent="0.3">
      <c r="A5" s="97">
        <f>H32</f>
        <v>3874166.9399999995</v>
      </c>
      <c r="B5" s="97"/>
      <c r="C5" s="97">
        <f>A5</f>
        <v>3874166.9399999995</v>
      </c>
      <c r="D5" s="23" t="s">
        <v>122</v>
      </c>
    </row>
    <row r="6" spans="1:5" x14ac:dyDescent="0.3">
      <c r="A6" s="27">
        <f>A4/A5</f>
        <v>357.18517591810337</v>
      </c>
      <c r="B6" s="145"/>
      <c r="C6" s="28">
        <f t="shared" si="0"/>
        <v>3.0360755133416353</v>
      </c>
      <c r="D6" s="29" t="s">
        <v>123</v>
      </c>
    </row>
    <row r="7" spans="1:5" ht="15" thickBot="1" x14ac:dyDescent="0.35">
      <c r="A7" s="8"/>
      <c r="B7" s="146"/>
      <c r="C7" s="9"/>
      <c r="D7" s="147"/>
    </row>
    <row r="8" spans="1:5" x14ac:dyDescent="0.3">
      <c r="A8" s="1"/>
      <c r="B8" s="1"/>
      <c r="C8" s="1"/>
      <c r="D8" s="1"/>
    </row>
    <row r="18" spans="1:13" ht="15" thickBot="1" x14ac:dyDescent="0.35"/>
    <row r="19" spans="1:13" ht="67.2" x14ac:dyDescent="0.4">
      <c r="A19" s="100" t="s">
        <v>102</v>
      </c>
      <c r="B19" s="148"/>
      <c r="C19" s="101" t="s">
        <v>115</v>
      </c>
      <c r="D19" s="101" t="s">
        <v>116</v>
      </c>
      <c r="E19" s="101" t="s">
        <v>125</v>
      </c>
      <c r="F19" s="101" t="s">
        <v>126</v>
      </c>
      <c r="G19" s="101" t="s">
        <v>127</v>
      </c>
      <c r="H19" s="101" t="s">
        <v>128</v>
      </c>
      <c r="I19" s="101" t="s">
        <v>117</v>
      </c>
      <c r="J19" s="101" t="s">
        <v>118</v>
      </c>
      <c r="K19" s="101" t="s">
        <v>121</v>
      </c>
      <c r="L19" s="101" t="s">
        <v>119</v>
      </c>
      <c r="M19" s="102" t="s">
        <v>120</v>
      </c>
    </row>
    <row r="20" spans="1:13" ht="61.2" x14ac:dyDescent="0.45">
      <c r="A20" s="94" t="s">
        <v>109</v>
      </c>
      <c r="B20" s="149"/>
      <c r="C20" s="106">
        <f>D20/D40</f>
        <v>0.44271751655959068</v>
      </c>
      <c r="D20" s="105">
        <v>1635101</v>
      </c>
      <c r="E20" s="2">
        <f>D41</f>
        <v>110799.84</v>
      </c>
      <c r="F20" s="2">
        <f>E20*1.5</f>
        <v>166199.76</v>
      </c>
      <c r="G20" s="2">
        <f>D20-E20</f>
        <v>1524301.16</v>
      </c>
      <c r="H20" s="2">
        <f>F20+G20</f>
        <v>1690500.92</v>
      </c>
      <c r="I20" s="2">
        <f>A6</f>
        <v>357.18517591810337</v>
      </c>
      <c r="J20" s="2">
        <f>H20*I20</f>
        <v>603821868.4999156</v>
      </c>
      <c r="K20" s="2">
        <f>J20/12</f>
        <v>50318489.041659631</v>
      </c>
      <c r="L20" s="2">
        <f>J20*4</f>
        <v>2415287473.9996624</v>
      </c>
      <c r="M20" s="5">
        <f>L20/117.6</f>
        <v>20538158.792514138</v>
      </c>
    </row>
    <row r="21" spans="1:13" ht="40.799999999999997" x14ac:dyDescent="0.45">
      <c r="A21" s="94" t="s">
        <v>110</v>
      </c>
      <c r="B21" s="149"/>
      <c r="C21" s="106">
        <f>D21/D40</f>
        <v>0.11785414130561922</v>
      </c>
      <c r="D21" s="105">
        <v>435274</v>
      </c>
      <c r="E21" s="2">
        <f>D41</f>
        <v>110799.84</v>
      </c>
      <c r="F21" s="2">
        <f>E21*1.5</f>
        <v>166199.76</v>
      </c>
      <c r="G21" s="2">
        <f t="shared" ref="G21:G28" si="1">D21-E21</f>
        <v>324474.16000000003</v>
      </c>
      <c r="H21" s="2">
        <f t="shared" ref="H21:H31" si="2">F21+G21</f>
        <v>490673.92000000004</v>
      </c>
      <c r="I21" s="2">
        <f>A6</f>
        <v>357.18517591810337</v>
      </c>
      <c r="J21" s="2">
        <f t="shared" ref="J21:J31" si="3">H21*I21</f>
        <v>175261450.4336254</v>
      </c>
      <c r="K21" s="2">
        <f t="shared" ref="K21:K32" si="4">J21/12</f>
        <v>14605120.869468784</v>
      </c>
      <c r="L21" s="2">
        <f t="shared" ref="L21:L32" si="5">J21*4</f>
        <v>701045801.7345016</v>
      </c>
      <c r="M21" s="5">
        <f t="shared" ref="M21:M32" si="6">L21/117.6</f>
        <v>5961273.8242729735</v>
      </c>
    </row>
    <row r="22" spans="1:13" ht="61.2" x14ac:dyDescent="0.45">
      <c r="A22" s="94" t="s">
        <v>111</v>
      </c>
      <c r="B22" s="149"/>
      <c r="C22" s="106">
        <f>D22/D40</f>
        <v>1.6330258238640056E-2</v>
      </c>
      <c r="D22" s="105">
        <v>60313</v>
      </c>
      <c r="E22" s="2">
        <f>D41</f>
        <v>110799.84</v>
      </c>
      <c r="F22" s="2">
        <f>D22*1.5</f>
        <v>90469.5</v>
      </c>
      <c r="G22" s="2">
        <v>0</v>
      </c>
      <c r="H22" s="2">
        <f t="shared" si="2"/>
        <v>90469.5</v>
      </c>
      <c r="I22" s="2">
        <f>A6</f>
        <v>357.18517591810337</v>
      </c>
      <c r="J22" s="2">
        <f t="shared" si="3"/>
        <v>32314364.272722851</v>
      </c>
      <c r="K22" s="2">
        <f t="shared" si="4"/>
        <v>2692863.6893935711</v>
      </c>
      <c r="L22" s="2">
        <f t="shared" si="5"/>
        <v>129257457.09089141</v>
      </c>
      <c r="M22" s="5">
        <f t="shared" si="6"/>
        <v>1099128.0364871719</v>
      </c>
    </row>
    <row r="23" spans="1:13" ht="346.8" x14ac:dyDescent="0.45">
      <c r="A23" s="94" t="s">
        <v>156</v>
      </c>
      <c r="B23" s="149"/>
      <c r="C23" s="106">
        <f>D23/D40</f>
        <v>0.14092141288290669</v>
      </c>
      <c r="D23" s="105">
        <v>520469</v>
      </c>
      <c r="E23" s="2">
        <f>D41</f>
        <v>110799.84</v>
      </c>
      <c r="F23" s="2">
        <f t="shared" ref="F23:F28" si="7">E23*1.5</f>
        <v>166199.76</v>
      </c>
      <c r="G23" s="2">
        <f t="shared" si="1"/>
        <v>409669.16000000003</v>
      </c>
      <c r="H23" s="2">
        <f t="shared" si="2"/>
        <v>575868.92000000004</v>
      </c>
      <c r="I23" s="2">
        <f>A6</f>
        <v>357.18517591810337</v>
      </c>
      <c r="J23" s="2">
        <f t="shared" si="3"/>
        <v>205691841.49596822</v>
      </c>
      <c r="K23" s="2">
        <f t="shared" si="4"/>
        <v>17140986.791330684</v>
      </c>
      <c r="L23" s="2">
        <f t="shared" si="5"/>
        <v>822767365.98387289</v>
      </c>
      <c r="M23" s="5">
        <f t="shared" si="6"/>
        <v>6996321.1393186478</v>
      </c>
    </row>
    <row r="24" spans="1:13" ht="224.4" x14ac:dyDescent="0.45">
      <c r="A24" s="94" t="s">
        <v>157</v>
      </c>
      <c r="B24" s="149"/>
      <c r="C24" s="106">
        <f>D24/D40</f>
        <v>5.5354953581160403E-2</v>
      </c>
      <c r="D24" s="105">
        <v>204444</v>
      </c>
      <c r="E24" s="2">
        <f>D41</f>
        <v>110799.84</v>
      </c>
      <c r="F24" s="2">
        <f t="shared" si="7"/>
        <v>166199.76</v>
      </c>
      <c r="G24" s="2">
        <f t="shared" si="1"/>
        <v>93644.160000000003</v>
      </c>
      <c r="H24" s="2">
        <f t="shared" si="2"/>
        <v>259843.92</v>
      </c>
      <c r="I24" s="2">
        <f>A6</f>
        <v>357.18517591810337</v>
      </c>
      <c r="J24" s="2">
        <f t="shared" si="3"/>
        <v>92812396.276449576</v>
      </c>
      <c r="K24" s="2">
        <f t="shared" si="4"/>
        <v>7734366.3563707983</v>
      </c>
      <c r="L24" s="2">
        <f t="shared" si="5"/>
        <v>371249585.1057983</v>
      </c>
      <c r="M24" s="5">
        <f t="shared" si="6"/>
        <v>3156884.2270901217</v>
      </c>
    </row>
    <row r="25" spans="1:13" ht="81.599999999999994" x14ac:dyDescent="0.45">
      <c r="A25" s="94" t="s">
        <v>158</v>
      </c>
      <c r="B25" s="149"/>
      <c r="C25" s="106">
        <f>D25/D40</f>
        <v>3.8238412618646384E-2</v>
      </c>
      <c r="D25" s="105">
        <v>141227</v>
      </c>
      <c r="E25" s="2">
        <f>D41</f>
        <v>110799.84</v>
      </c>
      <c r="F25" s="2">
        <f t="shared" si="7"/>
        <v>166199.76</v>
      </c>
      <c r="G25" s="2">
        <f t="shared" si="1"/>
        <v>30427.160000000003</v>
      </c>
      <c r="H25" s="2">
        <f t="shared" si="2"/>
        <v>196626.92</v>
      </c>
      <c r="I25" s="2">
        <f>A6</f>
        <v>357.18517591810337</v>
      </c>
      <c r="J25" s="2">
        <f t="shared" si="3"/>
        <v>70232221.010434836</v>
      </c>
      <c r="K25" s="2">
        <f t="shared" si="4"/>
        <v>5852685.0842029033</v>
      </c>
      <c r="L25" s="2">
        <f t="shared" si="5"/>
        <v>280928884.04173934</v>
      </c>
      <c r="M25" s="5">
        <f t="shared" si="6"/>
        <v>2388851.0547766951</v>
      </c>
    </row>
    <row r="26" spans="1:13" ht="81.599999999999994" x14ac:dyDescent="0.45">
      <c r="A26" s="94" t="s">
        <v>159</v>
      </c>
      <c r="B26" s="149"/>
      <c r="C26" s="106">
        <f>D26/D40</f>
        <v>9.7066927172458004E-3</v>
      </c>
      <c r="D26" s="105">
        <v>35850</v>
      </c>
      <c r="E26" s="2">
        <f>D41</f>
        <v>110799.84</v>
      </c>
      <c r="F26" s="2">
        <f>D26*1.5</f>
        <v>53775</v>
      </c>
      <c r="G26" s="2">
        <v>0</v>
      </c>
      <c r="H26" s="2">
        <f t="shared" si="2"/>
        <v>53775</v>
      </c>
      <c r="I26" s="2">
        <f>A6</f>
        <v>357.18517591810337</v>
      </c>
      <c r="J26" s="2">
        <f t="shared" si="3"/>
        <v>19207632.834996007</v>
      </c>
      <c r="K26" s="2">
        <f t="shared" si="4"/>
        <v>1600636.0695830006</v>
      </c>
      <c r="L26" s="2">
        <f t="shared" si="5"/>
        <v>76830531.33998403</v>
      </c>
      <c r="M26" s="5">
        <f t="shared" si="6"/>
        <v>653320.84472775541</v>
      </c>
    </row>
    <row r="27" spans="1:13" ht="102" x14ac:dyDescent="0.45">
      <c r="A27" s="94" t="s">
        <v>160</v>
      </c>
      <c r="B27" s="149"/>
      <c r="C27" s="106">
        <f>D27/D40</f>
        <v>4.839348143463023E-2</v>
      </c>
      <c r="D27" s="105">
        <v>178733</v>
      </c>
      <c r="E27" s="2">
        <f>D41</f>
        <v>110799.84</v>
      </c>
      <c r="F27" s="2">
        <f t="shared" si="7"/>
        <v>166199.76</v>
      </c>
      <c r="G27" s="2">
        <f t="shared" si="1"/>
        <v>67933.16</v>
      </c>
      <c r="H27" s="2">
        <f t="shared" si="2"/>
        <v>234132.92</v>
      </c>
      <c r="I27" s="2">
        <f>A6</f>
        <v>357.18517591810337</v>
      </c>
      <c r="J27" s="2">
        <f t="shared" si="3"/>
        <v>83628808.218419224</v>
      </c>
      <c r="K27" s="2">
        <f t="shared" si="4"/>
        <v>6969067.3515349356</v>
      </c>
      <c r="L27" s="2">
        <f t="shared" si="5"/>
        <v>334515232.8736769</v>
      </c>
      <c r="M27" s="5">
        <f t="shared" si="6"/>
        <v>2844517.2863407899</v>
      </c>
    </row>
    <row r="28" spans="1:13" ht="142.80000000000001" x14ac:dyDescent="0.45">
      <c r="A28" s="94" t="s">
        <v>161</v>
      </c>
      <c r="B28" s="149"/>
      <c r="C28" s="106">
        <f>D28/D40</f>
        <v>3.9195543964684429E-2</v>
      </c>
      <c r="D28" s="105">
        <v>144762</v>
      </c>
      <c r="E28" s="2">
        <f>D41</f>
        <v>110799.84</v>
      </c>
      <c r="F28" s="2">
        <f t="shared" si="7"/>
        <v>166199.76</v>
      </c>
      <c r="G28" s="2">
        <f t="shared" si="1"/>
        <v>33962.160000000003</v>
      </c>
      <c r="H28" s="2">
        <f t="shared" si="2"/>
        <v>200161.92000000001</v>
      </c>
      <c r="I28" s="2">
        <f>A6</f>
        <v>357.18517591810337</v>
      </c>
      <c r="J28" s="2">
        <f t="shared" si="3"/>
        <v>71494870.607305333</v>
      </c>
      <c r="K28" s="2">
        <f t="shared" si="4"/>
        <v>5957905.8839421114</v>
      </c>
      <c r="L28" s="2">
        <f t="shared" si="5"/>
        <v>285979482.42922133</v>
      </c>
      <c r="M28" s="5">
        <f t="shared" si="6"/>
        <v>2431798.3199763722</v>
      </c>
    </row>
    <row r="29" spans="1:13" ht="142.80000000000001" x14ac:dyDescent="0.45">
      <c r="A29" s="94" t="s">
        <v>162</v>
      </c>
      <c r="B29" s="149"/>
      <c r="C29" s="106">
        <f>D29/D40</f>
        <v>6.5047025338664747E-3</v>
      </c>
      <c r="D29" s="105">
        <v>24024</v>
      </c>
      <c r="E29" s="2">
        <f>D41</f>
        <v>110799.84</v>
      </c>
      <c r="F29" s="2">
        <f>D29*1.5</f>
        <v>36036</v>
      </c>
      <c r="G29" s="2">
        <v>0</v>
      </c>
      <c r="H29" s="2">
        <f t="shared" si="2"/>
        <v>36036</v>
      </c>
      <c r="I29" s="2">
        <f>A6</f>
        <v>357.18517591810337</v>
      </c>
      <c r="J29" s="2">
        <f t="shared" si="3"/>
        <v>12871524.999384774</v>
      </c>
      <c r="K29" s="2">
        <f t="shared" si="4"/>
        <v>1072627.0832820644</v>
      </c>
      <c r="L29" s="2">
        <f t="shared" si="5"/>
        <v>51486099.997539096</v>
      </c>
      <c r="M29" s="5">
        <f t="shared" si="6"/>
        <v>437806.97276818962</v>
      </c>
    </row>
    <row r="30" spans="1:13" ht="40.799999999999997" x14ac:dyDescent="0.45">
      <c r="A30" s="94" t="s">
        <v>112</v>
      </c>
      <c r="B30" s="149"/>
      <c r="C30" s="106">
        <f>D30/D40</f>
        <v>5.5648997327071952E-3</v>
      </c>
      <c r="D30" s="105">
        <v>20553</v>
      </c>
      <c r="E30" s="2">
        <f>D41</f>
        <v>110799.84</v>
      </c>
      <c r="F30" s="2">
        <f t="shared" ref="F30:F31" si="8">D30*1.5</f>
        <v>30829.5</v>
      </c>
      <c r="G30" s="2">
        <v>0</v>
      </c>
      <c r="H30" s="2">
        <f t="shared" si="2"/>
        <v>30829.5</v>
      </c>
      <c r="I30" s="2">
        <f>A6</f>
        <v>357.18517591810337</v>
      </c>
      <c r="J30" s="2">
        <f t="shared" si="3"/>
        <v>11011840.380967168</v>
      </c>
      <c r="K30" s="2">
        <f t="shared" si="4"/>
        <v>917653.36508059734</v>
      </c>
      <c r="L30" s="2">
        <f t="shared" si="5"/>
        <v>44047361.523868673</v>
      </c>
      <c r="M30" s="5">
        <f t="shared" si="6"/>
        <v>374552.39391044789</v>
      </c>
    </row>
    <row r="31" spans="1:13" ht="40.799999999999997" x14ac:dyDescent="0.45">
      <c r="A31" s="94" t="s">
        <v>113</v>
      </c>
      <c r="B31" s="149"/>
      <c r="C31" s="106">
        <f>D31/D40</f>
        <v>2.7522602920726238E-3</v>
      </c>
      <c r="D31" s="105">
        <v>10165</v>
      </c>
      <c r="E31" s="2">
        <f>D41</f>
        <v>110799.84</v>
      </c>
      <c r="F31" s="2">
        <f t="shared" si="8"/>
        <v>15247.5</v>
      </c>
      <c r="G31" s="2">
        <v>0</v>
      </c>
      <c r="H31" s="2">
        <f t="shared" si="2"/>
        <v>15247.5</v>
      </c>
      <c r="I31" s="2">
        <f>A6</f>
        <v>357.18517591810337</v>
      </c>
      <c r="J31" s="2">
        <f t="shared" si="3"/>
        <v>5446180.9698112812</v>
      </c>
      <c r="K31" s="2">
        <f t="shared" si="4"/>
        <v>453848.41415094008</v>
      </c>
      <c r="L31" s="2">
        <f t="shared" si="5"/>
        <v>21784723.879245125</v>
      </c>
      <c r="M31" s="5">
        <f t="shared" si="6"/>
        <v>185244.25067385312</v>
      </c>
    </row>
    <row r="32" spans="1:13" ht="21" thickBot="1" x14ac:dyDescent="0.5">
      <c r="A32" s="150" t="s">
        <v>130</v>
      </c>
      <c r="B32" s="151"/>
      <c r="C32" s="152">
        <f>SUM(C20:C31)</f>
        <v>0.92353427586177017</v>
      </c>
      <c r="D32" s="153"/>
      <c r="E32" s="154"/>
      <c r="F32" s="154"/>
      <c r="G32" s="154"/>
      <c r="H32" s="154">
        <f>SUM(H20:H31)</f>
        <v>3874166.9399999995</v>
      </c>
      <c r="I32" s="154"/>
      <c r="J32" s="154">
        <f>SUM(J20:J31)</f>
        <v>1383795000.0000005</v>
      </c>
      <c r="K32" s="154">
        <f t="shared" si="4"/>
        <v>115316250.00000004</v>
      </c>
      <c r="L32" s="154">
        <f t="shared" si="5"/>
        <v>5535180000.0000019</v>
      </c>
      <c r="M32" s="155">
        <f t="shared" si="6"/>
        <v>47067857.142857164</v>
      </c>
    </row>
    <row r="33" spans="1:11" ht="40.799999999999997" x14ac:dyDescent="0.45">
      <c r="A33" s="156" t="s">
        <v>166</v>
      </c>
      <c r="B33" s="156"/>
      <c r="C33" s="157"/>
      <c r="D33" s="158">
        <v>82066</v>
      </c>
      <c r="E33" s="1"/>
      <c r="F33" s="1"/>
      <c r="G33" s="1"/>
      <c r="H33" s="1"/>
      <c r="I33" s="1"/>
      <c r="J33" s="1"/>
      <c r="K33" s="1"/>
    </row>
    <row r="34" spans="1:11" ht="20.399999999999999" x14ac:dyDescent="0.45">
      <c r="A34" s="156" t="s">
        <v>68</v>
      </c>
      <c r="B34" s="156"/>
      <c r="C34" s="157"/>
      <c r="D34" s="158">
        <v>86362</v>
      </c>
    </row>
    <row r="35" spans="1:11" ht="20.399999999999999" x14ac:dyDescent="0.45">
      <c r="A35" s="156" t="s">
        <v>167</v>
      </c>
      <c r="B35" s="156"/>
      <c r="C35" s="157"/>
      <c r="D35" s="158">
        <v>63560</v>
      </c>
    </row>
    <row r="36" spans="1:11" ht="40.799999999999997" x14ac:dyDescent="0.45">
      <c r="A36" s="156" t="s">
        <v>168</v>
      </c>
      <c r="B36" s="156"/>
      <c r="C36" s="157"/>
      <c r="D36" s="158">
        <v>3267</v>
      </c>
    </row>
    <row r="37" spans="1:11" ht="20.399999999999999" x14ac:dyDescent="0.45">
      <c r="A37" s="156" t="s">
        <v>91</v>
      </c>
      <c r="B37" s="156"/>
      <c r="C37" s="157"/>
      <c r="D37" s="158">
        <v>31196</v>
      </c>
    </row>
    <row r="38" spans="1:11" ht="20.399999999999999" x14ac:dyDescent="0.45">
      <c r="A38" s="156" t="s">
        <v>169</v>
      </c>
      <c r="B38" s="156"/>
      <c r="C38" s="157"/>
      <c r="D38" s="158">
        <v>6393</v>
      </c>
    </row>
    <row r="39" spans="1:11" ht="40.799999999999997" x14ac:dyDescent="0.45">
      <c r="A39" s="156" t="s">
        <v>170</v>
      </c>
      <c r="B39" s="156"/>
      <c r="C39" s="157"/>
      <c r="D39" s="158">
        <v>9569</v>
      </c>
    </row>
    <row r="40" spans="1:11" ht="40.799999999999997" x14ac:dyDescent="0.4">
      <c r="A40" s="95" t="s">
        <v>124</v>
      </c>
      <c r="B40" s="95"/>
      <c r="C40" s="96"/>
      <c r="D40" s="103">
        <v>3693328</v>
      </c>
    </row>
    <row r="41" spans="1:11" ht="40.799999999999997" x14ac:dyDescent="0.4">
      <c r="A41" s="95" t="s">
        <v>171</v>
      </c>
      <c r="B41" s="95"/>
      <c r="D41" s="159">
        <f>D40/100*3</f>
        <v>110799.84</v>
      </c>
    </row>
    <row r="42" spans="1:11" ht="20.399999999999999" x14ac:dyDescent="0.45">
      <c r="D42" s="104">
        <f>SUM(D33:D39)</f>
        <v>282413</v>
      </c>
    </row>
    <row r="43" spans="1:11" ht="16.8" x14ac:dyDescent="0.4">
      <c r="D43" s="107">
        <f>D42/D40</f>
        <v>7.6465724138229801E-2</v>
      </c>
    </row>
  </sheetData>
  <mergeCells count="1">
    <mergeCell ref="A1:D1"/>
  </mergeCells>
  <printOptions horizontalCentered="1" verticalCentered="1"/>
  <pageMargins left="0.7" right="0.7" top="0.5" bottom="0.5" header="0.3" footer="0.3"/>
  <pageSetup paperSize="9" orientation="landscape" r:id="rId1"/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red rad novi saziv 2022 sajt</vt:lpstr>
      <vt:lpstr>2021 st saz i zak komb bud rb13</vt:lpstr>
      <vt:lpstr>2021 st saz i zak komb bud i rb</vt:lpstr>
      <vt:lpstr>2021 stari saziv i zakon orig b</vt:lpstr>
      <vt:lpstr>2021 stari saziv i zakon 1rb</vt:lpstr>
      <vt:lpstr>2021 stari saziv i zakon 2rb</vt:lpstr>
      <vt:lpstr>2020 stari saziv i zakon </vt:lpstr>
      <vt:lpstr>za 2022 stari saziv novi zakon</vt:lpstr>
      <vt:lpstr>redovan rad novi saziv formule</vt:lpstr>
      <vt:lpstr>List1</vt:lpstr>
      <vt:lpstr>Raspodela budžetskog novca 6,4</vt:lpstr>
      <vt:lpstr>raspodela po starom zakonu</vt:lpstr>
      <vt:lpstr>posledice izmena ZFPA</vt:lpstr>
      <vt:lpstr>Na osnovu novog ZFPA</vt:lpstr>
      <vt:lpstr>Na osnovu starog ZFPA</vt:lpstr>
      <vt:lpstr>Raspodela budžetskog novca </vt:lpstr>
      <vt:lpstr>2021, po strankama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TS</cp:lastModifiedBy>
  <cp:lastPrinted>2022-07-07T17:59:17Z</cp:lastPrinted>
  <dcterms:created xsi:type="dcterms:W3CDTF">2021-11-08T06:58:14Z</dcterms:created>
  <dcterms:modified xsi:type="dcterms:W3CDTF">2022-07-07T20:47:17Z</dcterms:modified>
</cp:coreProperties>
</file>